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25" windowWidth="11085" windowHeight="6330" tabRatio="601" activeTab="1"/>
  </bookViews>
  <sheets>
    <sheet name="Sheet1" sheetId="1" r:id="rId1"/>
    <sheet name="Yorktown Plaza's 30 Years Finan" sheetId="2" r:id="rId2"/>
  </sheets>
  <definedNames>
    <definedName name="_xlnm.Print_Area" localSheetId="1">'Yorktown Plaza''s 30 Years Finan'!$A$1:$AU$124</definedName>
  </definedNames>
  <calcPr fullCalcOnLoad="1"/>
</workbook>
</file>

<file path=xl/sharedStrings.xml><?xml version="1.0" encoding="utf-8"?>
<sst xmlns="http://schemas.openxmlformats.org/spreadsheetml/2006/main" count="63" uniqueCount="63">
  <si>
    <t>Assets:</t>
  </si>
  <si>
    <t>Total assets. . . . . . . . . . . . . . . . . . . . . . . . . . . . . . . . . . . . . . . . . . . . .</t>
  </si>
  <si>
    <t>Liabilities:</t>
  </si>
  <si>
    <t xml:space="preserve">Long-term debt . . . . . . . . . . . . . . . . . . . . . . . . . . . . . . . . . . . . . . . . . . </t>
  </si>
  <si>
    <t>Retained earnings:</t>
  </si>
  <si>
    <t xml:space="preserve">           Less: Accumulated depreciation . . . . . . . . . . . . . . . . . . . . . . . </t>
  </si>
  <si>
    <t xml:space="preserve">     Total current liabilities . . . . . . . . . . . . . . . . . . . . . . . . . . . . . . . . . . </t>
  </si>
  <si>
    <t xml:space="preserve">     Total current assets. . . . . . . . . . . . . . . . . . . . . . . . . . . . . . . . . . . . </t>
  </si>
  <si>
    <t xml:space="preserve">          Total liabilities. . . . . . . . . . . . . . . . . . . . . . . . . . . . . . . . . . . . . . .</t>
  </si>
  <si>
    <t xml:space="preserve">     Beginning balance. . . . . . . . . . . . . . . . . . . . . . . . . . . . . . . . . . . . . </t>
  </si>
  <si>
    <t xml:space="preserve">     Ending balance . . . . . . . . . . . . . . . . . . . . . . . . . . . . . . . . . . . . . . . </t>
  </si>
  <si>
    <t xml:space="preserve">Total liabilities and owners' equity. . . . . . . . . . . . . . . . . . . . . . . . . . . </t>
  </si>
  <si>
    <t xml:space="preserve">          Total owners' equity. . . . . . . . . . . . . . . . . . . . . . . . . . . . . . . . . </t>
  </si>
  <si>
    <t xml:space="preserve">     Dividends (Partners disbersements). . . . . . . . . . . . . . . . . . . . . . . </t>
  </si>
  <si>
    <t>Cash Flow. . . . . . . . . . . . . . . . . . . . . . . . . . . . . . . . . . . . . . . . . . . . . .</t>
  </si>
  <si>
    <t xml:space="preserve">Yearly Morgate Payment . . . . . . . . . . . . . . . . . . . . . . . . . . . . . . . . . . </t>
  </si>
  <si>
    <t>Capital Property and equipment:</t>
  </si>
  <si>
    <t>Non-Cash Value of the Yorktown Shopping Center</t>
  </si>
  <si>
    <t>Cash Value of the Yorktown Shopping Center………………</t>
  </si>
  <si>
    <t xml:space="preserve">     Closing cost…………………………………………….....................</t>
  </si>
  <si>
    <t xml:space="preserve">     Escrows Cost………………………………………………………..</t>
  </si>
  <si>
    <t xml:space="preserve">Owner Equity……………………………………….. . . . . . . . . . . . . . </t>
  </si>
  <si>
    <t>Annual Principal………………………………………………</t>
  </si>
  <si>
    <t xml:space="preserve">      Equipment……………………………………………………………..</t>
  </si>
  <si>
    <t xml:space="preserve">      Used Merchandise Inventory……………………………………..</t>
  </si>
  <si>
    <t>Yorktown Plaza's Balance Sheets</t>
  </si>
  <si>
    <r>
      <t>Other accrued liabilities--</t>
    </r>
    <r>
      <rPr>
        <sz val="6"/>
        <rFont val="Arial"/>
        <family val="2"/>
      </rPr>
      <t>Promotion, Insurrance and Tax</t>
    </r>
    <r>
      <rPr>
        <sz val="8"/>
        <rFont val="Arial"/>
        <family val="2"/>
      </rPr>
      <t xml:space="preserve">.. . . . . . . . . . </t>
    </r>
  </si>
  <si>
    <t xml:space="preserve">           Total disbursement every five years</t>
  </si>
  <si>
    <t>Sum</t>
  </si>
  <si>
    <t>31-Dec-07</t>
  </si>
  <si>
    <t>Initial cash Flow 01/23/07</t>
  </si>
  <si>
    <t>31-Dec-08</t>
  </si>
  <si>
    <t xml:space="preserve">Six offices' Equipment internal decoration.. . . . </t>
  </si>
  <si>
    <t>Merchandise inventory excludes Walgreen's Pharmacy…..</t>
  </si>
  <si>
    <t>Walgreen's Pharmacy store's income</t>
  </si>
  <si>
    <t>Secretary's Salary</t>
  </si>
  <si>
    <t>Property Manager's Salary</t>
  </si>
  <si>
    <t>Full-time Maintainer's Salary</t>
  </si>
  <si>
    <t>Part-time Maintainer's Salary</t>
  </si>
  <si>
    <t>Enginner's Salary</t>
  </si>
  <si>
    <t>Total Yearly Management Budgets</t>
  </si>
  <si>
    <t>Yearly Management Budgets</t>
  </si>
  <si>
    <t>Walgreen's Pharmacy stores yearly net assest</t>
  </si>
  <si>
    <t>Investment</t>
  </si>
  <si>
    <t xml:space="preserve">      Market accumlatied assets</t>
  </si>
  <si>
    <t>Yorktown Plaza's currently value</t>
  </si>
  <si>
    <t>Accounts receivable--6 units yearly rental and others. . . .</t>
  </si>
  <si>
    <t>Project's Yearly Income estimate</t>
  </si>
  <si>
    <t>Total Investment every five year</t>
  </si>
  <si>
    <t>Frist year income</t>
  </si>
  <si>
    <t>Nguyen's Financial Strategic Plan</t>
  </si>
  <si>
    <t>The project yearly income is higher the the first year income because of the increasing of the yearly  market accumuation</t>
  </si>
  <si>
    <t>Owners' Equities:</t>
  </si>
  <si>
    <t>Accounts payable---Yearly Payroll. . . . . . . . . . . . . . . . . . . . . . . . . . .</t>
  </si>
  <si>
    <t>Annually Payment Schedule</t>
  </si>
  <si>
    <t xml:space="preserve">     Six offices' yearly cross  income . . . . . . . . . . . . . . . . . . . </t>
  </si>
  <si>
    <t xml:space="preserve">Extra income of the fist year </t>
  </si>
  <si>
    <t>Average needs of cash flow</t>
  </si>
  <si>
    <t>Yearly cash flow</t>
  </si>
  <si>
    <t>30-Years Financial Analysis</t>
  </si>
  <si>
    <t>Every 10-Years net growth</t>
  </si>
  <si>
    <t>11 out of 12  months</t>
  </si>
  <si>
    <t xml:space="preserve">      Market accumlated assets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</si>
</sst>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quot;$&quot;* #,##0.0_);_(&quot;$&quot;* \(#,##0.0\);_(&quot;$&quot;* &quot;-&quot;??_);_(@_)"/>
    <numFmt numFmtId="168" formatCode="0_);[Red]\(0\)"/>
    <numFmt numFmtId="169" formatCode="0.00000000"/>
    <numFmt numFmtId="170" formatCode="0.0000000"/>
    <numFmt numFmtId="171" formatCode="0.000000"/>
    <numFmt numFmtId="172" formatCode="0.00000"/>
    <numFmt numFmtId="173" formatCode="0.0%"/>
    <numFmt numFmtId="174" formatCode="&quot;$&quot;#,##0"/>
    <numFmt numFmtId="175" formatCode="0.0000"/>
    <numFmt numFmtId="176" formatCode="0.000"/>
    <numFmt numFmtId="177" formatCode="0;[Red]0"/>
    <numFmt numFmtId="178" formatCode="#,##0;[Red]#,##0"/>
    <numFmt numFmtId="179" formatCode="&quot;$&quot;#,##0.00;[Red]&quot;$&quot;#,##0.00"/>
    <numFmt numFmtId="180" formatCode="&quot;$&quot;#,##0.000;[Red]&quot;$&quot;#,##0.000"/>
    <numFmt numFmtId="181" formatCode="&quot;$&quot;#,##0.0000;[Red]&quot;$&quot;#,##0.0000"/>
    <numFmt numFmtId="182" formatCode="&quot;$&quot;#,##0.0;[Red]&quot;$&quot;#,##0.0"/>
    <numFmt numFmtId="183" formatCode="&quot;$&quot;#,##0;[Red]&quot;$&quot;#,##0"/>
    <numFmt numFmtId="184" formatCode="mmm\-yyyy"/>
    <numFmt numFmtId="185" formatCode="&quot;Yes&quot;;&quot;Yes&quot;;&quot;No&quot;"/>
    <numFmt numFmtId="186" formatCode="&quot;True&quot;;&quot;True&quot;;&quot;False&quot;"/>
    <numFmt numFmtId="187" formatCode="&quot;On&quot;;&quot;On&quot;;&quot;Off&quot;"/>
    <numFmt numFmtId="188" formatCode="#,##0.0_);\(#,##0.0\)"/>
  </numFmts>
  <fonts count="21">
    <font>
      <sz val="10"/>
      <name val="Arial"/>
      <family val="0"/>
    </font>
    <font>
      <sz val="8"/>
      <name val="Arial"/>
      <family val="2"/>
    </font>
    <font>
      <b/>
      <i/>
      <sz val="10"/>
      <color indexed="10"/>
      <name val="Arial"/>
      <family val="2"/>
    </font>
    <font>
      <b/>
      <sz val="8"/>
      <color indexed="9"/>
      <name val="Arial"/>
      <family val="2"/>
    </font>
    <font>
      <b/>
      <i/>
      <sz val="8"/>
      <color indexed="10"/>
      <name val="Arial"/>
      <family val="2"/>
    </font>
    <font>
      <i/>
      <sz val="8"/>
      <name val="Arial"/>
      <family val="2"/>
    </font>
    <font>
      <u val="single"/>
      <sz val="10"/>
      <color indexed="12"/>
      <name val="Arial"/>
      <family val="0"/>
    </font>
    <font>
      <u val="single"/>
      <sz val="10"/>
      <color indexed="36"/>
      <name val="Arial"/>
      <family val="0"/>
    </font>
    <font>
      <b/>
      <sz val="8"/>
      <color indexed="10"/>
      <name val="Arial"/>
      <family val="2"/>
    </font>
    <font>
      <b/>
      <sz val="8"/>
      <name val="Arial"/>
      <family val="2"/>
    </font>
    <font>
      <sz val="8"/>
      <color indexed="63"/>
      <name val="Arial"/>
      <family val="2"/>
    </font>
    <font>
      <u val="single"/>
      <sz val="8"/>
      <name val="Arial"/>
      <family val="2"/>
    </font>
    <font>
      <sz val="8"/>
      <color indexed="10"/>
      <name val="Arial"/>
      <family val="2"/>
    </font>
    <font>
      <b/>
      <sz val="8"/>
      <color indexed="12"/>
      <name val="Arial"/>
      <family val="2"/>
    </font>
    <font>
      <sz val="6"/>
      <name val="Arial"/>
      <family val="2"/>
    </font>
    <font>
      <sz val="7"/>
      <name val="Arial"/>
      <family val="2"/>
    </font>
    <font>
      <sz val="8"/>
      <color indexed="12"/>
      <name val="Arial"/>
      <family val="2"/>
    </font>
    <font>
      <sz val="9"/>
      <name val="Times New Roman"/>
      <family val="1"/>
    </font>
    <font>
      <sz val="10.5"/>
      <name val="Times New Roman"/>
      <family val="1"/>
    </font>
    <font>
      <b/>
      <i/>
      <sz val="10.5"/>
      <name val="Times New Roman"/>
      <family val="1"/>
    </font>
    <font>
      <b/>
      <sz val="10.5"/>
      <name val="Times New Roman"/>
      <family val="1"/>
    </font>
  </fonts>
  <fills count="10">
    <fill>
      <patternFill/>
    </fill>
    <fill>
      <patternFill patternType="gray125"/>
    </fill>
    <fill>
      <patternFill patternType="solid">
        <fgColor indexed="62"/>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center"/>
      <protection/>
    </xf>
    <xf numFmtId="0" fontId="0" fillId="0" borderId="0" xfId="0" applyAlignment="1" applyProtection="1">
      <alignment horizontal="center"/>
      <protection/>
    </xf>
    <xf numFmtId="0" fontId="0" fillId="2" borderId="1" xfId="0" applyFill="1" applyBorder="1" applyAlignment="1" applyProtection="1">
      <alignment/>
      <protection/>
    </xf>
    <xf numFmtId="49" fontId="1" fillId="0" borderId="0" xfId="0" applyNumberFormat="1" applyFont="1" applyAlignment="1" applyProtection="1">
      <alignment horizontal="left"/>
      <protection/>
    </xf>
    <xf numFmtId="0" fontId="1" fillId="0" borderId="0" xfId="0" applyFont="1" applyBorder="1" applyAlignment="1" applyProtection="1">
      <alignment/>
      <protection/>
    </xf>
    <xf numFmtId="37" fontId="1" fillId="0" borderId="0" xfId="0" applyNumberFormat="1" applyFont="1" applyAlignment="1" applyProtection="1">
      <alignment horizontal="right"/>
      <protection/>
    </xf>
    <xf numFmtId="0" fontId="9" fillId="0" borderId="0" xfId="0" applyFont="1" applyAlignment="1" applyProtection="1">
      <alignment horizontal="center"/>
      <protection/>
    </xf>
    <xf numFmtId="16" fontId="1" fillId="0" borderId="0" xfId="0" applyNumberFormat="1" applyFont="1" applyAlignment="1" applyProtection="1">
      <alignment/>
      <protection/>
    </xf>
    <xf numFmtId="49" fontId="5" fillId="0" borderId="0" xfId="0" applyNumberFormat="1" applyFont="1" applyAlignment="1" applyProtection="1">
      <alignment horizontal="center"/>
      <protection/>
    </xf>
    <xf numFmtId="49" fontId="1" fillId="0" borderId="1" xfId="0" applyNumberFormat="1" applyFont="1" applyBorder="1" applyAlignment="1" applyProtection="1">
      <alignment horizontal="left"/>
      <protection/>
    </xf>
    <xf numFmtId="0" fontId="11" fillId="0" borderId="1" xfId="0" applyFont="1" applyBorder="1" applyAlignment="1" applyProtection="1">
      <alignment/>
      <protection/>
    </xf>
    <xf numFmtId="0" fontId="11" fillId="0" borderId="1" xfId="0" applyFont="1" applyBorder="1" applyAlignment="1" applyProtection="1">
      <alignment horizontal="right"/>
      <protection/>
    </xf>
    <xf numFmtId="183" fontId="11" fillId="0" borderId="1" xfId="0" applyNumberFormat="1" applyFont="1" applyBorder="1" applyAlignment="1" applyProtection="1">
      <alignment/>
      <protection/>
    </xf>
    <xf numFmtId="16" fontId="11" fillId="0" borderId="1" xfId="0" applyNumberFormat="1" applyFont="1" applyBorder="1" applyAlignment="1" applyProtection="1">
      <alignment/>
      <protection/>
    </xf>
    <xf numFmtId="0" fontId="1" fillId="0" borderId="0" xfId="0" applyFont="1" applyAlignment="1" applyProtection="1">
      <alignment horizontal="right"/>
      <protection/>
    </xf>
    <xf numFmtId="183" fontId="1" fillId="0" borderId="0" xfId="0" applyNumberFormat="1" applyFont="1" applyAlignment="1" applyProtection="1">
      <alignment/>
      <protection/>
    </xf>
    <xf numFmtId="164" fontId="1" fillId="0" borderId="0" xfId="0" applyNumberFormat="1" applyFont="1" applyBorder="1" applyAlignment="1" applyProtection="1">
      <alignment horizontal="right"/>
      <protection/>
    </xf>
    <xf numFmtId="37" fontId="1" fillId="0" borderId="1" xfId="0" applyNumberFormat="1" applyFont="1" applyBorder="1" applyAlignment="1" applyProtection="1">
      <alignment horizontal="right"/>
      <protection/>
    </xf>
    <xf numFmtId="37" fontId="1" fillId="3" borderId="0" xfId="0" applyNumberFormat="1" applyFont="1" applyFill="1" applyAlignment="1" applyProtection="1">
      <alignment horizontal="right"/>
      <protection/>
    </xf>
    <xf numFmtId="164" fontId="1" fillId="0" borderId="2" xfId="0" applyNumberFormat="1" applyFont="1" applyBorder="1" applyAlignment="1" applyProtection="1">
      <alignment horizontal="right"/>
      <protection/>
    </xf>
    <xf numFmtId="164" fontId="1" fillId="0" borderId="1" xfId="0" applyNumberFormat="1" applyFont="1" applyBorder="1" applyAlignment="1" applyProtection="1">
      <alignment horizontal="right"/>
      <protection/>
    </xf>
    <xf numFmtId="0" fontId="9" fillId="0" borderId="0" xfId="0" applyFont="1" applyAlignment="1" applyProtection="1">
      <alignment/>
      <protection/>
    </xf>
    <xf numFmtId="37" fontId="11" fillId="3" borderId="1" xfId="0" applyNumberFormat="1" applyFont="1" applyFill="1" applyBorder="1" applyAlignment="1" applyProtection="1">
      <alignment horizontal="right"/>
      <protection/>
    </xf>
    <xf numFmtId="37" fontId="10" fillId="3" borderId="0" xfId="0" applyNumberFormat="1" applyFont="1" applyFill="1" applyAlignment="1" applyProtection="1">
      <alignment horizontal="center"/>
      <protection/>
    </xf>
    <xf numFmtId="165" fontId="1" fillId="3" borderId="0" xfId="0" applyNumberFormat="1" applyFont="1" applyFill="1" applyBorder="1" applyAlignment="1" applyProtection="1">
      <alignment horizontal="right"/>
      <protection/>
    </xf>
    <xf numFmtId="37" fontId="1" fillId="0" borderId="0" xfId="0" applyNumberFormat="1" applyFont="1" applyAlignment="1" applyProtection="1">
      <alignment/>
      <protection/>
    </xf>
    <xf numFmtId="0" fontId="4" fillId="0" borderId="0" xfId="0" applyFont="1" applyAlignment="1" applyProtection="1">
      <alignment/>
      <protection/>
    </xf>
    <xf numFmtId="0" fontId="3" fillId="2" borderId="0" xfId="0" applyFont="1" applyFill="1" applyBorder="1" applyAlignment="1" applyProtection="1">
      <alignment/>
      <protection/>
    </xf>
    <xf numFmtId="0" fontId="1"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1" fillId="2" borderId="0" xfId="0" applyFont="1" applyFill="1" applyBorder="1" applyAlignment="1" applyProtection="1">
      <alignment horizontal="center"/>
      <protection/>
    </xf>
    <xf numFmtId="15" fontId="1"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17" fontId="1" fillId="0" borderId="0" xfId="0" applyNumberFormat="1" applyFont="1" applyAlignment="1" applyProtection="1">
      <alignment/>
      <protection/>
    </xf>
    <xf numFmtId="164" fontId="9" fillId="0" borderId="3" xfId="0" applyNumberFormat="1" applyFont="1" applyBorder="1" applyAlignment="1" applyProtection="1">
      <alignment horizontal="right"/>
      <protection/>
    </xf>
    <xf numFmtId="164" fontId="1" fillId="0" borderId="0" xfId="0" applyNumberFormat="1" applyFont="1" applyAlignment="1" applyProtection="1">
      <alignment/>
      <protection/>
    </xf>
    <xf numFmtId="0" fontId="15" fillId="0" borderId="0" xfId="0" applyFont="1" applyAlignment="1" applyProtection="1">
      <alignment/>
      <protection/>
    </xf>
    <xf numFmtId="164" fontId="1" fillId="0" borderId="1" xfId="0" applyNumberFormat="1" applyFont="1" applyFill="1" applyBorder="1" applyAlignment="1" applyProtection="1">
      <alignment horizontal="right"/>
      <protection/>
    </xf>
    <xf numFmtId="37" fontId="1" fillId="4" borderId="1" xfId="0" applyNumberFormat="1" applyFont="1" applyFill="1" applyBorder="1" applyAlignment="1" applyProtection="1">
      <alignment horizontal="right"/>
      <protection/>
    </xf>
    <xf numFmtId="164" fontId="1" fillId="5" borderId="0" xfId="0" applyNumberFormat="1" applyFont="1" applyFill="1" applyBorder="1" applyAlignment="1" applyProtection="1">
      <alignment horizontal="right"/>
      <protection/>
    </xf>
    <xf numFmtId="164" fontId="1" fillId="4" borderId="1" xfId="0" applyNumberFormat="1" applyFont="1" applyFill="1" applyBorder="1" applyAlignment="1" applyProtection="1">
      <alignment horizontal="right"/>
      <protection/>
    </xf>
    <xf numFmtId="49" fontId="9" fillId="6" borderId="0" xfId="0" applyNumberFormat="1" applyFont="1" applyFill="1" applyAlignment="1" applyProtection="1">
      <alignment horizontal="left"/>
      <protection/>
    </xf>
    <xf numFmtId="0" fontId="1" fillId="6" borderId="0" xfId="0" applyFont="1" applyFill="1" applyAlignment="1" applyProtection="1">
      <alignment/>
      <protection/>
    </xf>
    <xf numFmtId="49" fontId="9" fillId="7" borderId="0" xfId="0" applyNumberFormat="1" applyFont="1" applyFill="1" applyAlignment="1" applyProtection="1">
      <alignment horizontal="left"/>
      <protection/>
    </xf>
    <xf numFmtId="0" fontId="1" fillId="7" borderId="0" xfId="0" applyFont="1" applyFill="1" applyAlignment="1" applyProtection="1">
      <alignment/>
      <protection/>
    </xf>
    <xf numFmtId="0" fontId="1" fillId="0" borderId="0" xfId="0" applyFont="1" applyAlignment="1" applyProtection="1">
      <alignment horizontal="left"/>
      <protection/>
    </xf>
    <xf numFmtId="44" fontId="1" fillId="0" borderId="0" xfId="17" applyFont="1" applyAlignment="1" applyProtection="1">
      <alignment horizontal="center"/>
      <protection/>
    </xf>
    <xf numFmtId="44" fontId="1" fillId="0" borderId="0" xfId="17" applyFont="1" applyAlignment="1" applyProtection="1">
      <alignment/>
      <protection/>
    </xf>
    <xf numFmtId="44" fontId="1" fillId="0" borderId="0" xfId="0" applyNumberFormat="1" applyFont="1" applyAlignment="1" applyProtection="1">
      <alignment horizontal="center"/>
      <protection/>
    </xf>
    <xf numFmtId="44" fontId="1" fillId="0" borderId="0" xfId="17" applyFont="1" applyFill="1" applyAlignment="1" applyProtection="1">
      <alignment/>
      <protection/>
    </xf>
    <xf numFmtId="37" fontId="1" fillId="4" borderId="0" xfId="0" applyNumberFormat="1" applyFont="1" applyFill="1" applyAlignment="1" applyProtection="1">
      <alignment horizontal="right"/>
      <protection/>
    </xf>
    <xf numFmtId="164" fontId="1" fillId="0" borderId="0" xfId="0" applyNumberFormat="1" applyFont="1" applyFill="1" applyBorder="1" applyAlignment="1" applyProtection="1">
      <alignment horizontal="right"/>
      <protection/>
    </xf>
    <xf numFmtId="164" fontId="16" fillId="0" borderId="0" xfId="0" applyNumberFormat="1" applyFont="1" applyFill="1" applyBorder="1" applyAlignment="1" applyProtection="1">
      <alignment horizontal="right"/>
      <protection/>
    </xf>
    <xf numFmtId="0" fontId="16" fillId="0" borderId="0" xfId="0" applyFont="1" applyFill="1" applyAlignment="1" applyProtection="1">
      <alignment/>
      <protection/>
    </xf>
    <xf numFmtId="37" fontId="16" fillId="0" borderId="0" xfId="0" applyNumberFormat="1" applyFont="1" applyAlignment="1" applyProtection="1">
      <alignment horizontal="right"/>
      <protection/>
    </xf>
    <xf numFmtId="0" fontId="16" fillId="0" borderId="0" xfId="0" applyFont="1" applyAlignment="1" applyProtection="1">
      <alignment/>
      <protection/>
    </xf>
    <xf numFmtId="37" fontId="16" fillId="0" borderId="1" xfId="0" applyNumberFormat="1" applyFont="1" applyBorder="1" applyAlignment="1" applyProtection="1">
      <alignment horizontal="right"/>
      <protection/>
    </xf>
    <xf numFmtId="37" fontId="16" fillId="5" borderId="1" xfId="0" applyNumberFormat="1" applyFont="1" applyFill="1" applyBorder="1" applyAlignment="1" applyProtection="1">
      <alignment horizontal="right"/>
      <protection/>
    </xf>
    <xf numFmtId="164" fontId="1" fillId="8" borderId="1" xfId="0" applyNumberFormat="1" applyFont="1" applyFill="1" applyBorder="1" applyAlignment="1" applyProtection="1">
      <alignment horizontal="right"/>
      <protection/>
    </xf>
    <xf numFmtId="164" fontId="1" fillId="8" borderId="0" xfId="0" applyNumberFormat="1" applyFont="1" applyFill="1" applyAlignment="1" applyProtection="1">
      <alignment/>
      <protection/>
    </xf>
    <xf numFmtId="49" fontId="1" fillId="8" borderId="0" xfId="0" applyNumberFormat="1" applyFont="1" applyFill="1" applyAlignment="1" applyProtection="1">
      <alignment horizontal="left"/>
      <protection/>
    </xf>
    <xf numFmtId="164" fontId="9" fillId="8" borderId="0" xfId="0" applyNumberFormat="1" applyFont="1" applyFill="1" applyAlignment="1" applyProtection="1">
      <alignment/>
      <protection/>
    </xf>
    <xf numFmtId="44" fontId="13" fillId="4" borderId="0" xfId="17" applyFont="1" applyFill="1" applyAlignment="1" applyProtection="1">
      <alignment horizontal="center"/>
      <protection/>
    </xf>
    <xf numFmtId="43" fontId="13" fillId="4" borderId="0" xfId="0" applyNumberFormat="1" applyFont="1" applyFill="1" applyAlignment="1" applyProtection="1">
      <alignment horizontal="center"/>
      <protection/>
    </xf>
    <xf numFmtId="0" fontId="1" fillId="4" borderId="0" xfId="0" applyFont="1" applyFill="1" applyAlignment="1" applyProtection="1">
      <alignment/>
      <protection/>
    </xf>
    <xf numFmtId="0" fontId="1" fillId="4" borderId="0" xfId="0" applyFont="1" applyFill="1" applyBorder="1" applyAlignment="1" applyProtection="1">
      <alignment/>
      <protection/>
    </xf>
    <xf numFmtId="0" fontId="12" fillId="0" borderId="0" xfId="0" applyFont="1" applyFill="1" applyAlignment="1" applyProtection="1">
      <alignment horizontal="center"/>
      <protection/>
    </xf>
    <xf numFmtId="0" fontId="1" fillId="0" borderId="0" xfId="0" applyFont="1" applyFill="1" applyAlignment="1" applyProtection="1">
      <alignment/>
      <protection/>
    </xf>
    <xf numFmtId="0" fontId="16" fillId="0" borderId="0" xfId="0" applyFont="1" applyFill="1" applyAlignment="1" applyProtection="1">
      <alignment horizontal="center"/>
      <protection/>
    </xf>
    <xf numFmtId="0" fontId="1" fillId="0" borderId="0" xfId="0" applyFont="1" applyFill="1" applyAlignment="1" applyProtection="1">
      <alignment horizontal="center"/>
      <protection/>
    </xf>
    <xf numFmtId="44" fontId="1" fillId="0" borderId="0" xfId="0" applyNumberFormat="1" applyFont="1" applyAlignment="1" applyProtection="1">
      <alignment/>
      <protection/>
    </xf>
    <xf numFmtId="164" fontId="1" fillId="0" borderId="0" xfId="0" applyNumberFormat="1" applyFont="1" applyFill="1" applyAlignment="1" applyProtection="1">
      <alignment/>
      <protection/>
    </xf>
    <xf numFmtId="0" fontId="1" fillId="8" borderId="0" xfId="0" applyFont="1" applyFill="1" applyAlignment="1" applyProtection="1">
      <alignment/>
      <protection/>
    </xf>
    <xf numFmtId="0" fontId="9" fillId="4" borderId="0" xfId="0" applyFont="1" applyFill="1" applyAlignment="1" applyProtection="1">
      <alignment/>
      <protection/>
    </xf>
    <xf numFmtId="0" fontId="13" fillId="4" borderId="0" xfId="0" applyFont="1" applyFill="1" applyAlignment="1" applyProtection="1">
      <alignment/>
      <protection/>
    </xf>
    <xf numFmtId="49" fontId="8" fillId="0" borderId="0" xfId="0" applyNumberFormat="1" applyFont="1" applyAlignment="1" applyProtection="1">
      <alignment horizontal="left"/>
      <protection/>
    </xf>
    <xf numFmtId="44" fontId="13" fillId="0" borderId="0" xfId="17" applyFont="1" applyAlignment="1" applyProtection="1">
      <alignment horizontal="right"/>
      <protection/>
    </xf>
    <xf numFmtId="0" fontId="13" fillId="0" borderId="0" xfId="0" applyFont="1" applyAlignment="1" applyProtection="1">
      <alignment/>
      <protection/>
    </xf>
    <xf numFmtId="0" fontId="8" fillId="9" borderId="4" xfId="0" applyFont="1" applyFill="1" applyBorder="1" applyAlignment="1" applyProtection="1">
      <alignment horizontal="left"/>
      <protection locked="0"/>
    </xf>
    <xf numFmtId="0" fontId="8" fillId="9" borderId="5" xfId="0" applyFont="1" applyFill="1" applyBorder="1" applyAlignment="1" applyProtection="1">
      <alignment horizontal="left"/>
      <protection locked="0"/>
    </xf>
    <xf numFmtId="0" fontId="8" fillId="9" borderId="6" xfId="0" applyFont="1" applyFill="1" applyBorder="1" applyAlignment="1" applyProtection="1">
      <alignment horizontal="left"/>
      <protection locked="0"/>
    </xf>
    <xf numFmtId="0" fontId="13" fillId="0" borderId="0" xfId="0"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7</xdr:col>
      <xdr:colOff>0</xdr:colOff>
      <xdr:row>65</xdr:row>
      <xdr:rowOff>0</xdr:rowOff>
    </xdr:to>
    <xdr:sp>
      <xdr:nvSpPr>
        <xdr:cNvPr id="1" name="AutoShape 15"/>
        <xdr:cNvSpPr>
          <a:spLocks/>
        </xdr:cNvSpPr>
      </xdr:nvSpPr>
      <xdr:spPr>
        <a:xfrm>
          <a:off x="3638550" y="9058275"/>
          <a:ext cx="0"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xdr:row>
      <xdr:rowOff>9525</xdr:rowOff>
    </xdr:from>
    <xdr:to>
      <xdr:col>10</xdr:col>
      <xdr:colOff>866775</xdr:colOff>
      <xdr:row>116</xdr:row>
      <xdr:rowOff>9525</xdr:rowOff>
    </xdr:to>
    <xdr:pic>
      <xdr:nvPicPr>
        <xdr:cNvPr id="2" name="Picture 18"/>
        <xdr:cNvPicPr preferRelativeResize="1">
          <a:picLocks noChangeAspect="1"/>
        </xdr:cNvPicPr>
      </xdr:nvPicPr>
      <xdr:blipFill>
        <a:blip r:embed="rId1"/>
        <a:srcRect l="32835" t="11936" r="32835" b="9283"/>
        <a:stretch>
          <a:fillRect/>
        </a:stretch>
      </xdr:blipFill>
      <xdr:spPr>
        <a:xfrm>
          <a:off x="0" y="9496425"/>
          <a:ext cx="5686425" cy="6981825"/>
        </a:xfrm>
        <a:prstGeom prst="rect">
          <a:avLst/>
        </a:prstGeom>
        <a:noFill/>
        <a:ln w="9525" cmpd="sng">
          <a:noFill/>
        </a:ln>
      </xdr:spPr>
    </xdr:pic>
    <xdr:clientData/>
  </xdr:twoCellAnchor>
  <xdr:twoCellAnchor>
    <xdr:from>
      <xdr:col>12</xdr:col>
      <xdr:colOff>85725</xdr:colOff>
      <xdr:row>52</xdr:row>
      <xdr:rowOff>28575</xdr:rowOff>
    </xdr:from>
    <xdr:to>
      <xdr:col>22</xdr:col>
      <xdr:colOff>790575</xdr:colOff>
      <xdr:row>66</xdr:row>
      <xdr:rowOff>104775</xdr:rowOff>
    </xdr:to>
    <xdr:sp>
      <xdr:nvSpPr>
        <xdr:cNvPr id="3" name="TextBox 28"/>
        <xdr:cNvSpPr txBox="1">
          <a:spLocks noChangeArrowheads="1"/>
        </xdr:cNvSpPr>
      </xdr:nvSpPr>
      <xdr:spPr>
        <a:xfrm>
          <a:off x="5857875" y="7181850"/>
          <a:ext cx="5438775" cy="2124075"/>
        </a:xfrm>
        <a:prstGeom prst="rect">
          <a:avLst/>
        </a:prstGeom>
        <a:solidFill>
          <a:srgbClr val="EAEAEA"/>
        </a:solidFill>
        <a:ln w="25400" cmpd="sng">
          <a:solidFill>
            <a:srgbClr val="333399"/>
          </a:solidFill>
          <a:headEnd type="none"/>
          <a:tailEnd type="none"/>
        </a:ln>
      </xdr:spPr>
      <xdr:txBody>
        <a:bodyPr vertOverflow="clip" wrap="square"/>
        <a:p>
          <a:pPr algn="l">
            <a:defRPr/>
          </a:pPr>
          <a:r>
            <a:rPr lang="en-US" cap="none" sz="1050" b="1" i="1" u="none" baseline="0">
              <a:latin typeface="Times New Roman"/>
              <a:ea typeface="Times New Roman"/>
              <a:cs typeface="Times New Roman"/>
            </a:rPr>
            <a:t>Explaining the Balance Sheet</a:t>
          </a:r>
          <a:r>
            <a:rPr lang="en-US" cap="none" sz="1050" b="0" i="0" u="none" baseline="0">
              <a:latin typeface="Times New Roman"/>
              <a:ea typeface="Times New Roman"/>
              <a:cs typeface="Times New Roman"/>
            </a:rPr>
            <a:t>
         The balance sheet of this slice shows a 30-year financial analysis of the Yorktown Plaza. The balance sheet prevails the relationship of Walgreen’s assets = liabilities + owner’s equities, whereas cell F 13 is the initial cash investment; cell G 14 is the cash flow that equals F13 - G20 - G22; cell G16 is the account receivable that presents the extra income of the Yorktown rental and income related to the integration benefit. Line 41 is the annually principal that increases yearly, and line 46 is the market accumulated asset, which is assumed that the Yorktown Plaza market value will increase by 10% yearly. Line 47 is not a loss, but it is the investment that Walgreen’s will obtain from the Yorktown Plaza business and be invested (drawn out) annually to put into the other investment plans. Finally, the other lines or cells are self-explaining</a:t>
          </a:r>
          <a:r>
            <a:rPr lang="en-US" cap="none" sz="1050" b="1" i="0" u="none" baseline="0">
              <a:latin typeface="Times New Roman"/>
              <a:ea typeface="Times New Roman"/>
              <a:cs typeface="Times New Roman"/>
            </a:rPr>
            <a:t>. To see the calculation, please double click at the decided cells of the excel files.
          </a:t>
          </a:r>
          <a:r>
            <a:rPr lang="en-US" cap="none" sz="1050" b="0" i="0" u="none" baseline="0">
              <a:latin typeface="Times New Roman"/>
              <a:ea typeface="Times New Roman"/>
              <a:cs typeface="Times New Roman"/>
            </a:rPr>
            <a:t>
</a:t>
          </a:r>
          <a:r>
            <a:rPr lang="en-US" cap="none" sz="9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U107"/>
  <sheetViews>
    <sheetView showGridLines="0" tabSelected="1" zoomScaleSheetLayoutView="100" workbookViewId="0" topLeftCell="A13">
      <selection activeCell="F54" sqref="F54"/>
    </sheetView>
  </sheetViews>
  <sheetFormatPr defaultColWidth="9.140625" defaultRowHeight="12.75"/>
  <cols>
    <col min="1" max="1" width="0.5625" style="1" customWidth="1"/>
    <col min="2" max="2" width="2.00390625" style="1" customWidth="1"/>
    <col min="3" max="3" width="18.28125" style="5" customWidth="1"/>
    <col min="4" max="4" width="2.421875" style="5" customWidth="1"/>
    <col min="5" max="5" width="1.8515625" style="5" hidden="1" customWidth="1"/>
    <col min="6" max="6" width="16.8515625" style="5" customWidth="1"/>
    <col min="7" max="7" width="14.421875" style="5" customWidth="1"/>
    <col min="8" max="8" width="0.13671875" style="5" customWidth="1"/>
    <col min="9" max="9" width="13.57421875" style="1" bestFit="1" customWidth="1"/>
    <col min="10" max="10" width="4.00390625" style="1" customWidth="1"/>
    <col min="11" max="11" width="13.7109375" style="1" bestFit="1" customWidth="1"/>
    <col min="12" max="12" width="0.5625" style="1" customWidth="1"/>
    <col min="13" max="13" width="13.7109375" style="1" bestFit="1" customWidth="1"/>
    <col min="14" max="14" width="0.71875" style="1" customWidth="1"/>
    <col min="15" max="15" width="13.28125" style="1" bestFit="1" customWidth="1"/>
    <col min="16" max="16" width="0.5625" style="1" customWidth="1"/>
    <col min="17" max="17" width="13.57421875" style="1" bestFit="1" customWidth="1"/>
    <col min="18" max="18" width="0.71875" style="1" customWidth="1"/>
    <col min="19" max="19" width="13.7109375" style="1" bestFit="1" customWidth="1"/>
    <col min="20" max="20" width="0.42578125" style="1" customWidth="1"/>
    <col min="21" max="21" width="13.7109375" style="1" bestFit="1" customWidth="1"/>
    <col min="22" max="22" width="0.5625" style="1" customWidth="1"/>
    <col min="23" max="23" width="13.57421875" style="1" bestFit="1" customWidth="1"/>
    <col min="24" max="24" width="13.7109375" style="1" bestFit="1" customWidth="1"/>
    <col min="25" max="25" width="13.57421875" style="1" bestFit="1" customWidth="1"/>
    <col min="26" max="26" width="13.7109375" style="1" bestFit="1" customWidth="1"/>
    <col min="27" max="27" width="13.57421875" style="1" bestFit="1" customWidth="1"/>
    <col min="28" max="29" width="13.7109375" style="1" bestFit="1" customWidth="1"/>
    <col min="30" max="30" width="13.28125" style="1" customWidth="1"/>
    <col min="31" max="31" width="13.57421875" style="1" bestFit="1" customWidth="1"/>
    <col min="32" max="32" width="13.421875" style="1" bestFit="1" customWidth="1"/>
    <col min="33" max="33" width="13.28125" style="1" bestFit="1" customWidth="1"/>
    <col min="34" max="34" width="13.8515625" style="1" bestFit="1" customWidth="1"/>
    <col min="35" max="35" width="14.00390625" style="1" bestFit="1" customWidth="1"/>
    <col min="36" max="36" width="14.421875" style="1" bestFit="1" customWidth="1"/>
    <col min="37" max="37" width="14.140625" style="1" bestFit="1" customWidth="1"/>
    <col min="38" max="38" width="14.28125" style="1" bestFit="1" customWidth="1"/>
    <col min="39" max="39" width="14.7109375" style="1" bestFit="1" customWidth="1"/>
    <col min="40" max="40" width="14.00390625" style="1" bestFit="1" customWidth="1"/>
    <col min="41" max="41" width="14.7109375" style="1" bestFit="1" customWidth="1"/>
    <col min="42" max="42" width="14.421875" style="1" bestFit="1" customWidth="1"/>
    <col min="43" max="43" width="14.7109375" style="1" bestFit="1" customWidth="1"/>
    <col min="44" max="44" width="14.00390625" style="1" bestFit="1" customWidth="1"/>
    <col min="45" max="45" width="13.8515625" style="1" bestFit="1" customWidth="1"/>
    <col min="46" max="46" width="3.8515625" style="1" customWidth="1"/>
    <col min="47" max="47" width="14.57421875" style="1" bestFit="1" customWidth="1"/>
    <col min="48" max="16384" width="9.140625" style="1" customWidth="1"/>
  </cols>
  <sheetData>
    <row r="1" spans="1:47" ht="12.75" customHeight="1" thickBot="1">
      <c r="A1" s="31"/>
      <c r="B1" s="32"/>
      <c r="C1" s="34"/>
      <c r="D1" s="34"/>
      <c r="E1" s="34"/>
      <c r="F1" s="34"/>
      <c r="G1" s="34"/>
      <c r="H1" s="34"/>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row>
    <row r="2" spans="1:10" ht="13.5" thickBot="1">
      <c r="A2" s="31"/>
      <c r="B2" s="32"/>
      <c r="C2" s="34"/>
      <c r="D2" s="34"/>
      <c r="E2" s="34"/>
      <c r="F2" s="33"/>
      <c r="G2" s="82" t="s">
        <v>50</v>
      </c>
      <c r="H2" s="83"/>
      <c r="I2" s="83"/>
      <c r="J2" s="84"/>
    </row>
    <row r="3" spans="2:9" s="2" customFormat="1" ht="12.75" customHeight="1">
      <c r="B3" s="85"/>
      <c r="C3" s="85"/>
      <c r="D3" s="85"/>
      <c r="E3" s="85"/>
      <c r="F3" s="85"/>
      <c r="G3" s="85"/>
      <c r="H3" s="85"/>
      <c r="I3" s="85"/>
    </row>
    <row r="4" spans="2:9" s="2" customFormat="1" ht="11.25">
      <c r="B4" s="85" t="s">
        <v>25</v>
      </c>
      <c r="C4" s="85"/>
      <c r="D4" s="85"/>
      <c r="E4" s="85"/>
      <c r="F4" s="85"/>
      <c r="G4" s="85"/>
      <c r="H4" s="85"/>
      <c r="I4" s="85"/>
    </row>
    <row r="5" spans="2:9" s="2" customFormat="1" ht="11.25">
      <c r="B5" s="85" t="s">
        <v>59</v>
      </c>
      <c r="C5" s="85"/>
      <c r="D5" s="85"/>
      <c r="E5" s="85"/>
      <c r="F5" s="85"/>
      <c r="G5" s="85"/>
      <c r="H5" s="85"/>
      <c r="I5" s="85"/>
    </row>
    <row r="6" spans="2:9" s="2" customFormat="1" ht="6" customHeight="1">
      <c r="B6" s="10"/>
      <c r="C6" s="10"/>
      <c r="D6" s="10"/>
      <c r="E6" s="10"/>
      <c r="F6" s="10"/>
      <c r="G6" s="10"/>
      <c r="H6" s="10"/>
      <c r="I6" s="10"/>
    </row>
    <row r="7" spans="2:47" s="2" customFormat="1" ht="11.25">
      <c r="B7" s="10"/>
      <c r="C7" s="10"/>
      <c r="D7" s="10"/>
      <c r="E7" s="10"/>
      <c r="F7" s="10"/>
      <c r="G7" s="12" t="s">
        <v>29</v>
      </c>
      <c r="H7" s="4"/>
      <c r="I7" s="12" t="s">
        <v>31</v>
      </c>
      <c r="K7" s="35">
        <v>40178</v>
      </c>
      <c r="M7" s="35">
        <v>40543</v>
      </c>
      <c r="O7" s="35">
        <v>40908</v>
      </c>
      <c r="Q7" s="35">
        <v>41274</v>
      </c>
      <c r="S7" s="35">
        <v>41639</v>
      </c>
      <c r="U7" s="35">
        <v>42004</v>
      </c>
      <c r="W7" s="35">
        <v>42369</v>
      </c>
      <c r="X7" s="35">
        <v>42735</v>
      </c>
      <c r="Y7" s="35">
        <v>43100</v>
      </c>
      <c r="Z7" s="35">
        <v>43465</v>
      </c>
      <c r="AA7" s="35">
        <v>43830</v>
      </c>
      <c r="AB7" s="35">
        <v>44196</v>
      </c>
      <c r="AC7" s="35">
        <v>44561</v>
      </c>
      <c r="AD7" s="35">
        <v>44926</v>
      </c>
      <c r="AE7" s="35">
        <v>45291</v>
      </c>
      <c r="AF7" s="35">
        <v>45657</v>
      </c>
      <c r="AG7" s="35">
        <v>46022</v>
      </c>
      <c r="AH7" s="35">
        <v>46387</v>
      </c>
      <c r="AI7" s="35">
        <v>46752</v>
      </c>
      <c r="AJ7" s="35">
        <v>47118</v>
      </c>
      <c r="AK7" s="35">
        <v>47483</v>
      </c>
      <c r="AL7" s="35">
        <v>47848</v>
      </c>
      <c r="AM7" s="35">
        <v>48213</v>
      </c>
      <c r="AN7" s="35">
        <v>48579</v>
      </c>
      <c r="AO7" s="35">
        <v>48944</v>
      </c>
      <c r="AP7" s="35">
        <v>49309</v>
      </c>
      <c r="AQ7" s="35">
        <v>49674</v>
      </c>
      <c r="AR7" s="35">
        <v>50040</v>
      </c>
      <c r="AS7" s="35">
        <v>50405</v>
      </c>
      <c r="AT7" s="35"/>
      <c r="AU7" s="35" t="s">
        <v>28</v>
      </c>
    </row>
    <row r="8" spans="2:47" s="2" customFormat="1" ht="6" customHeight="1">
      <c r="B8" s="13"/>
      <c r="C8" s="14"/>
      <c r="D8" s="14"/>
      <c r="E8" s="14"/>
      <c r="F8" s="26"/>
      <c r="G8" s="15"/>
      <c r="H8" s="16"/>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2:9" s="2" customFormat="1" ht="6" customHeight="1">
      <c r="B9" s="7"/>
      <c r="F9" s="22"/>
      <c r="G9" s="18"/>
      <c r="H9" s="19"/>
      <c r="I9" s="11"/>
    </row>
    <row r="10" spans="2:8" s="2" customFormat="1" ht="11.25">
      <c r="B10" s="47" t="s">
        <v>0</v>
      </c>
      <c r="C10" s="48"/>
      <c r="F10" s="22"/>
      <c r="G10" s="18"/>
      <c r="H10" s="19"/>
    </row>
    <row r="11" spans="2:8" s="2" customFormat="1" ht="11.25">
      <c r="B11" s="79"/>
      <c r="C11" s="81" t="s">
        <v>30</v>
      </c>
      <c r="D11" s="25"/>
      <c r="E11" s="25"/>
      <c r="F11" s="80">
        <v>3500000</v>
      </c>
      <c r="H11" s="19"/>
    </row>
    <row r="12" spans="2:46" s="2" customFormat="1" ht="11.25">
      <c r="B12" s="2" t="s">
        <v>14</v>
      </c>
      <c r="F12" s="22"/>
      <c r="G12" s="20">
        <f>F11-G18-G20</f>
        <v>452500</v>
      </c>
      <c r="H12" s="19"/>
      <c r="I12" s="20">
        <f>G12-G15</f>
        <v>429583.3333333333</v>
      </c>
      <c r="K12" s="20">
        <f>I12-I15</f>
        <v>404583.3333333333</v>
      </c>
      <c r="M12" s="20">
        <f>K12-K15</f>
        <v>379583.3333333333</v>
      </c>
      <c r="O12" s="20">
        <f>M12-M15</f>
        <v>354583.3333333333</v>
      </c>
      <c r="Q12" s="20">
        <f>O12-O15</f>
        <v>329583.3333333333</v>
      </c>
      <c r="S12" s="20">
        <f>Q12-Q15</f>
        <v>304583.3333333333</v>
      </c>
      <c r="U12" s="20">
        <f>S12-S15</f>
        <v>279583.3333333333</v>
      </c>
      <c r="W12" s="20">
        <f>U12-U15</f>
        <v>254583.3333333333</v>
      </c>
      <c r="X12" s="20">
        <f>W12-W15</f>
        <v>229583.3333333333</v>
      </c>
      <c r="Y12" s="20">
        <f>X12-X15</f>
        <v>204583.3333333333</v>
      </c>
      <c r="Z12" s="20">
        <f>Y12-Y15</f>
        <v>179583.3333333333</v>
      </c>
      <c r="AA12" s="20">
        <f>Z12-Z15</f>
        <v>154583.3333333333</v>
      </c>
      <c r="AB12" s="20">
        <f>AA12-AA15</f>
        <v>129583.33333333331</v>
      </c>
      <c r="AC12" s="20">
        <f aca="true" t="shared" si="0" ref="AC12:AS12">AB12-AB15</f>
        <v>104583.33333333331</v>
      </c>
      <c r="AD12" s="20">
        <f t="shared" si="0"/>
        <v>79583.33333333331</v>
      </c>
      <c r="AE12" s="20">
        <f t="shared" si="0"/>
        <v>54583.333333333314</v>
      </c>
      <c r="AF12" s="20">
        <f t="shared" si="0"/>
        <v>29583.333333333314</v>
      </c>
      <c r="AG12" s="20">
        <f t="shared" si="0"/>
        <v>4583.333333333314</v>
      </c>
      <c r="AH12" s="43">
        <f>AG12-AG15+AH26</f>
        <v>287343.1333333333</v>
      </c>
      <c r="AI12" s="20">
        <f t="shared" si="0"/>
        <v>262343.1333333333</v>
      </c>
      <c r="AJ12" s="20">
        <f t="shared" si="0"/>
        <v>237343.1333333333</v>
      </c>
      <c r="AK12" s="20">
        <f t="shared" si="0"/>
        <v>212343.1333333333</v>
      </c>
      <c r="AL12" s="20">
        <f t="shared" si="0"/>
        <v>187343.1333333333</v>
      </c>
      <c r="AM12" s="20">
        <f t="shared" si="0"/>
        <v>162343.1333333333</v>
      </c>
      <c r="AN12" s="20">
        <f t="shared" si="0"/>
        <v>137343.1333333333</v>
      </c>
      <c r="AO12" s="20">
        <f t="shared" si="0"/>
        <v>112343.1333333333</v>
      </c>
      <c r="AP12" s="20">
        <f t="shared" si="0"/>
        <v>87343.1333333333</v>
      </c>
      <c r="AQ12" s="20">
        <f t="shared" si="0"/>
        <v>62343.1333333333</v>
      </c>
      <c r="AR12" s="20">
        <f t="shared" si="0"/>
        <v>37343.1333333333</v>
      </c>
      <c r="AS12" s="20">
        <f t="shared" si="0"/>
        <v>12343.133333333302</v>
      </c>
      <c r="AT12" s="20"/>
    </row>
    <row r="13" spans="2:47" s="2" customFormat="1" ht="11.25">
      <c r="B13" s="2" t="s">
        <v>42</v>
      </c>
      <c r="F13" s="22"/>
      <c r="G13" s="20">
        <f>I13*11/12</f>
        <v>288621.3742512955</v>
      </c>
      <c r="H13" s="19"/>
      <c r="I13" s="20">
        <f>1559500000/4953</f>
        <v>314859.68100141326</v>
      </c>
      <c r="K13" s="20">
        <f>I13</f>
        <v>314859.68100141326</v>
      </c>
      <c r="L13" s="20">
        <f aca="true" t="shared" si="1" ref="L13:AQ13">J13</f>
        <v>0</v>
      </c>
      <c r="M13" s="20">
        <f t="shared" si="1"/>
        <v>314859.68100141326</v>
      </c>
      <c r="N13" s="20">
        <f t="shared" si="1"/>
        <v>0</v>
      </c>
      <c r="O13" s="20">
        <f>M13</f>
        <v>314859.68100141326</v>
      </c>
      <c r="P13" s="20">
        <f t="shared" si="1"/>
        <v>0</v>
      </c>
      <c r="Q13" s="20">
        <f t="shared" si="1"/>
        <v>314859.68100141326</v>
      </c>
      <c r="R13" s="20">
        <f t="shared" si="1"/>
        <v>0</v>
      </c>
      <c r="S13" s="20">
        <f t="shared" si="1"/>
        <v>314859.68100141326</v>
      </c>
      <c r="T13" s="20">
        <f t="shared" si="1"/>
        <v>0</v>
      </c>
      <c r="U13" s="20">
        <f t="shared" si="1"/>
        <v>314859.68100141326</v>
      </c>
      <c r="V13" s="20">
        <f t="shared" si="1"/>
        <v>0</v>
      </c>
      <c r="W13" s="20">
        <f>U13</f>
        <v>314859.68100141326</v>
      </c>
      <c r="X13" s="20">
        <f>W13</f>
        <v>314859.68100141326</v>
      </c>
      <c r="Y13" s="20">
        <f t="shared" si="1"/>
        <v>314859.68100141326</v>
      </c>
      <c r="Z13" s="20">
        <f t="shared" si="1"/>
        <v>314859.68100141326</v>
      </c>
      <c r="AA13" s="20">
        <f t="shared" si="1"/>
        <v>314859.68100141326</v>
      </c>
      <c r="AB13" s="20">
        <f>Z13</f>
        <v>314859.68100141326</v>
      </c>
      <c r="AC13" s="20">
        <f t="shared" si="1"/>
        <v>314859.68100141326</v>
      </c>
      <c r="AD13" s="20">
        <f t="shared" si="1"/>
        <v>314859.68100141326</v>
      </c>
      <c r="AE13" s="20">
        <f t="shared" si="1"/>
        <v>314859.68100141326</v>
      </c>
      <c r="AF13" s="20">
        <f t="shared" si="1"/>
        <v>314859.68100141326</v>
      </c>
      <c r="AG13" s="20">
        <f t="shared" si="1"/>
        <v>314859.68100141326</v>
      </c>
      <c r="AH13" s="20">
        <f t="shared" si="1"/>
        <v>314859.68100141326</v>
      </c>
      <c r="AI13" s="20">
        <f t="shared" si="1"/>
        <v>314859.68100141326</v>
      </c>
      <c r="AJ13" s="20">
        <f t="shared" si="1"/>
        <v>314859.68100141326</v>
      </c>
      <c r="AK13" s="20">
        <f t="shared" si="1"/>
        <v>314859.68100141326</v>
      </c>
      <c r="AL13" s="20">
        <f t="shared" si="1"/>
        <v>314859.68100141326</v>
      </c>
      <c r="AM13" s="20">
        <f t="shared" si="1"/>
        <v>314859.68100141326</v>
      </c>
      <c r="AN13" s="20">
        <f t="shared" si="1"/>
        <v>314859.68100141326</v>
      </c>
      <c r="AO13" s="20">
        <f t="shared" si="1"/>
        <v>314859.68100141326</v>
      </c>
      <c r="AP13" s="20">
        <f>AN13</f>
        <v>314859.68100141326</v>
      </c>
      <c r="AQ13" s="20">
        <f t="shared" si="1"/>
        <v>314859.68100141326</v>
      </c>
      <c r="AR13" s="20">
        <f>AQ13</f>
        <v>314859.68100141326</v>
      </c>
      <c r="AS13" s="20">
        <f>AR13</f>
        <v>314859.68100141326</v>
      </c>
      <c r="AT13" s="20"/>
      <c r="AU13" s="55"/>
    </row>
    <row r="14" spans="2:47" s="2" customFormat="1" ht="11.25">
      <c r="B14" s="2" t="s">
        <v>46</v>
      </c>
      <c r="F14" s="22"/>
      <c r="G14" s="9">
        <f>2*G26+G30+G27</f>
        <v>712309</v>
      </c>
      <c r="H14" s="19"/>
      <c r="I14" s="9">
        <f>307759.8+307759.8+I30+I27</f>
        <v>833019.6</v>
      </c>
      <c r="K14" s="9">
        <f>307759.8+307759.8+K30+K27</f>
        <v>833019.6</v>
      </c>
      <c r="M14" s="9">
        <f>307759.8+307759.8+M30+M27</f>
        <v>833019.6</v>
      </c>
      <c r="O14" s="9">
        <f>307759.8+307759.8+O30+O27</f>
        <v>833019.6</v>
      </c>
      <c r="Q14" s="9">
        <f>307759.8+307759.8+Q30+Q27</f>
        <v>833019.6</v>
      </c>
      <c r="S14" s="9">
        <f>307759.8+307759.8+S30+S27</f>
        <v>833019.6</v>
      </c>
      <c r="U14" s="9">
        <f>307759.8+307759.8+U30+U27</f>
        <v>833019.6</v>
      </c>
      <c r="W14" s="9">
        <f aca="true" t="shared" si="2" ref="W14:AB14">307759.8+307759.8+W30+W27</f>
        <v>833019.6</v>
      </c>
      <c r="X14" s="9">
        <f t="shared" si="2"/>
        <v>833019.6</v>
      </c>
      <c r="Y14" s="9">
        <f t="shared" si="2"/>
        <v>833019.6</v>
      </c>
      <c r="Z14" s="9">
        <f t="shared" si="2"/>
        <v>833019.6</v>
      </c>
      <c r="AA14" s="9">
        <f t="shared" si="2"/>
        <v>833019.6</v>
      </c>
      <c r="AB14" s="9">
        <f t="shared" si="2"/>
        <v>833019.6</v>
      </c>
      <c r="AC14" s="9">
        <f aca="true" t="shared" si="3" ref="AC14:AS14">307759.8+307759.8+AC30+AC27</f>
        <v>833019.6</v>
      </c>
      <c r="AD14" s="9">
        <f t="shared" si="3"/>
        <v>833019.6</v>
      </c>
      <c r="AE14" s="9">
        <f t="shared" si="3"/>
        <v>833019.6</v>
      </c>
      <c r="AF14" s="9">
        <f t="shared" si="3"/>
        <v>833019.6</v>
      </c>
      <c r="AG14" s="9">
        <f t="shared" si="3"/>
        <v>833019.6</v>
      </c>
      <c r="AH14" s="9">
        <f t="shared" si="3"/>
        <v>833019.6</v>
      </c>
      <c r="AI14" s="9">
        <f t="shared" si="3"/>
        <v>833019.6</v>
      </c>
      <c r="AJ14" s="9">
        <f t="shared" si="3"/>
        <v>833019.6</v>
      </c>
      <c r="AK14" s="9">
        <f t="shared" si="3"/>
        <v>833019.6</v>
      </c>
      <c r="AL14" s="9">
        <f t="shared" si="3"/>
        <v>833019.6</v>
      </c>
      <c r="AM14" s="9">
        <f t="shared" si="3"/>
        <v>833019.6</v>
      </c>
      <c r="AN14" s="9">
        <f t="shared" si="3"/>
        <v>833019.6</v>
      </c>
      <c r="AO14" s="9">
        <f t="shared" si="3"/>
        <v>833019.6</v>
      </c>
      <c r="AP14" s="9">
        <f t="shared" si="3"/>
        <v>833019.6</v>
      </c>
      <c r="AQ14" s="9">
        <f t="shared" si="3"/>
        <v>833019.6</v>
      </c>
      <c r="AR14" s="9">
        <f t="shared" si="3"/>
        <v>833019.6</v>
      </c>
      <c r="AS14" s="9">
        <f t="shared" si="3"/>
        <v>833019.6</v>
      </c>
      <c r="AT14" s="9"/>
      <c r="AU14" s="9"/>
    </row>
    <row r="15" spans="2:47" s="2" customFormat="1" ht="11.25">
      <c r="B15" s="2" t="s">
        <v>33</v>
      </c>
      <c r="F15" s="27"/>
      <c r="G15" s="21">
        <f>25000*(11/12)</f>
        <v>22916.666666666664</v>
      </c>
      <c r="I15" s="21">
        <v>25000</v>
      </c>
      <c r="K15" s="21">
        <v>25000</v>
      </c>
      <c r="M15" s="21">
        <v>25000</v>
      </c>
      <c r="O15" s="21">
        <v>25000</v>
      </c>
      <c r="Q15" s="21">
        <v>25000</v>
      </c>
      <c r="S15" s="21">
        <v>25000</v>
      </c>
      <c r="U15" s="21">
        <v>25000</v>
      </c>
      <c r="W15" s="21">
        <v>25000</v>
      </c>
      <c r="X15" s="21">
        <v>25000</v>
      </c>
      <c r="Y15" s="21">
        <v>25000</v>
      </c>
      <c r="Z15" s="21">
        <v>25000</v>
      </c>
      <c r="AA15" s="21">
        <v>25000</v>
      </c>
      <c r="AB15" s="21">
        <v>25000</v>
      </c>
      <c r="AC15" s="21">
        <v>25000</v>
      </c>
      <c r="AD15" s="21">
        <v>25000</v>
      </c>
      <c r="AE15" s="21">
        <v>25000</v>
      </c>
      <c r="AF15" s="21">
        <v>25000</v>
      </c>
      <c r="AG15" s="21">
        <v>25000</v>
      </c>
      <c r="AH15" s="21">
        <v>25000</v>
      </c>
      <c r="AI15" s="21">
        <v>25000</v>
      </c>
      <c r="AJ15" s="21">
        <v>25000</v>
      </c>
      <c r="AK15" s="21">
        <v>25000</v>
      </c>
      <c r="AL15" s="21">
        <v>25000</v>
      </c>
      <c r="AM15" s="21">
        <v>25000</v>
      </c>
      <c r="AN15" s="21">
        <v>25000</v>
      </c>
      <c r="AO15" s="21">
        <v>25000</v>
      </c>
      <c r="AP15" s="21">
        <v>25000</v>
      </c>
      <c r="AQ15" s="21">
        <v>25000</v>
      </c>
      <c r="AR15" s="21">
        <v>25000</v>
      </c>
      <c r="AS15" s="21">
        <v>25000</v>
      </c>
      <c r="AT15" s="21"/>
      <c r="AU15" s="21"/>
    </row>
    <row r="16" spans="2:47" s="2" customFormat="1" ht="11.25">
      <c r="B16" s="7" t="s">
        <v>7</v>
      </c>
      <c r="F16" s="22"/>
      <c r="G16" s="20">
        <f>SUM(G12:G15)</f>
        <v>1476347.0409179623</v>
      </c>
      <c r="I16" s="20">
        <f>SUM(I12:I15)</f>
        <v>1602462.6143347467</v>
      </c>
      <c r="K16" s="20">
        <f>SUM(K12:K15)</f>
        <v>1577462.6143347467</v>
      </c>
      <c r="M16" s="20">
        <f>SUM(M12:M15)</f>
        <v>1552462.6143347467</v>
      </c>
      <c r="O16" s="20">
        <f>SUM(O12:O15)</f>
        <v>1527462.6143347467</v>
      </c>
      <c r="Q16" s="20">
        <f>SUM(Q12:Q15)</f>
        <v>1502462.6143347467</v>
      </c>
      <c r="S16" s="20">
        <f>SUM(S12:S15)</f>
        <v>1477462.6143347467</v>
      </c>
      <c r="U16" s="20">
        <f>SUM(U12:U15)</f>
        <v>1452462.6143347467</v>
      </c>
      <c r="W16" s="20">
        <f aca="true" t="shared" si="4" ref="W16:AB16">SUM(W12:W15)</f>
        <v>1427462.6143347467</v>
      </c>
      <c r="X16" s="20">
        <f t="shared" si="4"/>
        <v>1402462.6143347467</v>
      </c>
      <c r="Y16" s="20">
        <f t="shared" si="4"/>
        <v>1377462.6143347465</v>
      </c>
      <c r="Z16" s="20">
        <f t="shared" si="4"/>
        <v>1352462.6143347465</v>
      </c>
      <c r="AA16" s="20">
        <f t="shared" si="4"/>
        <v>1327462.6143347465</v>
      </c>
      <c r="AB16" s="20">
        <f t="shared" si="4"/>
        <v>1302462.6143347465</v>
      </c>
      <c r="AC16" s="20">
        <f aca="true" t="shared" si="5" ref="AC16:AS16">SUM(AC12:AC15)</f>
        <v>1277462.6143347465</v>
      </c>
      <c r="AD16" s="20">
        <f t="shared" si="5"/>
        <v>1252462.6143347465</v>
      </c>
      <c r="AE16" s="20">
        <f t="shared" si="5"/>
        <v>1227462.6143347465</v>
      </c>
      <c r="AF16" s="20">
        <f t="shared" si="5"/>
        <v>1202462.6143347465</v>
      </c>
      <c r="AG16" s="20">
        <f t="shared" si="5"/>
        <v>1177462.6143347465</v>
      </c>
      <c r="AH16" s="20">
        <f t="shared" si="5"/>
        <v>1460222.4143347465</v>
      </c>
      <c r="AI16" s="20">
        <f t="shared" si="5"/>
        <v>1435222.4143347465</v>
      </c>
      <c r="AJ16" s="20">
        <f t="shared" si="5"/>
        <v>1410222.4143347465</v>
      </c>
      <c r="AK16" s="20">
        <f t="shared" si="5"/>
        <v>1385222.4143347465</v>
      </c>
      <c r="AL16" s="20">
        <f t="shared" si="5"/>
        <v>1360222.4143347465</v>
      </c>
      <c r="AM16" s="20">
        <f t="shared" si="5"/>
        <v>1335222.4143347465</v>
      </c>
      <c r="AN16" s="20">
        <f t="shared" si="5"/>
        <v>1310222.4143347465</v>
      </c>
      <c r="AO16" s="20">
        <f t="shared" si="5"/>
        <v>1285222.4143347465</v>
      </c>
      <c r="AP16" s="20">
        <f t="shared" si="5"/>
        <v>1260222.4143347465</v>
      </c>
      <c r="AQ16" s="20">
        <f t="shared" si="5"/>
        <v>1235222.4143347465</v>
      </c>
      <c r="AR16" s="20">
        <f t="shared" si="5"/>
        <v>1210222.4143347465</v>
      </c>
      <c r="AS16" s="20">
        <f t="shared" si="5"/>
        <v>1185222.4143347465</v>
      </c>
      <c r="AT16" s="20"/>
      <c r="AU16" s="20"/>
    </row>
    <row r="17" spans="2:47" s="2" customFormat="1" ht="11.25">
      <c r="B17" s="7" t="s">
        <v>16</v>
      </c>
      <c r="E17" s="22"/>
      <c r="F17" s="22"/>
      <c r="G17" s="9"/>
      <c r="I17" s="9"/>
      <c r="K17" s="9"/>
      <c r="M17" s="9"/>
      <c r="O17" s="9"/>
      <c r="Q17" s="9"/>
      <c r="S17" s="9"/>
      <c r="U17" s="9"/>
      <c r="W17" s="9"/>
      <c r="X17" s="9"/>
      <c r="Y17" s="9"/>
      <c r="Z17" s="9"/>
      <c r="AA17" s="9"/>
      <c r="AB17" s="9"/>
      <c r="AC17" s="9"/>
      <c r="AD17" s="9"/>
      <c r="AE17" s="9"/>
      <c r="AF17" s="9"/>
      <c r="AG17" s="9"/>
      <c r="AH17" s="9"/>
      <c r="AI17" s="9"/>
      <c r="AJ17" s="9"/>
      <c r="AK17" s="9"/>
      <c r="AL17" s="9"/>
      <c r="AM17" s="9"/>
      <c r="AN17" s="9"/>
      <c r="AO17" s="9"/>
      <c r="AP17" s="9"/>
      <c r="AQ17" s="9"/>
      <c r="AR17" s="9"/>
      <c r="AS17" s="9"/>
      <c r="AT17" s="9"/>
      <c r="AU17" s="9"/>
    </row>
    <row r="18" spans="2:47" s="2" customFormat="1" ht="11.25">
      <c r="B18" s="7"/>
      <c r="C18" s="40" t="s">
        <v>18</v>
      </c>
      <c r="E18" s="22"/>
      <c r="F18" s="22"/>
      <c r="G18" s="9">
        <v>2047500</v>
      </c>
      <c r="I18" s="9">
        <f>G18+G39</f>
        <v>2076442</v>
      </c>
      <c r="K18" s="9">
        <f>I18+I39</f>
        <v>2148408</v>
      </c>
      <c r="M18" s="9">
        <f>K18+K39</f>
        <v>2224056</v>
      </c>
      <c r="O18" s="9">
        <f>M18+M39</f>
        <v>2303574</v>
      </c>
      <c r="Q18" s="9">
        <f>O18+O39</f>
        <v>2387161</v>
      </c>
      <c r="S18" s="9">
        <f>Q18+Q39</f>
        <v>2474824</v>
      </c>
      <c r="U18" s="9">
        <f>S18+S39</f>
        <v>2567183</v>
      </c>
      <c r="W18" s="9">
        <f>U18+U39</f>
        <v>2664267</v>
      </c>
      <c r="X18" s="9">
        <f aca="true" t="shared" si="6" ref="X18:AS18">W18+W39</f>
        <v>2766539</v>
      </c>
      <c r="Y18" s="9">
        <f t="shared" si="6"/>
        <v>2873811</v>
      </c>
      <c r="Z18" s="9">
        <f t="shared" si="6"/>
        <v>2986571</v>
      </c>
      <c r="AA18" s="9">
        <f t="shared" si="6"/>
        <v>3105100</v>
      </c>
      <c r="AB18" s="9">
        <f t="shared" si="6"/>
        <v>3229693</v>
      </c>
      <c r="AC18" s="9">
        <f t="shared" si="6"/>
        <v>3360660</v>
      </c>
      <c r="AD18" s="9">
        <f t="shared" si="6"/>
        <v>3498328</v>
      </c>
      <c r="AE18" s="9">
        <f t="shared" si="6"/>
        <v>3643039</v>
      </c>
      <c r="AF18" s="9">
        <f t="shared" si="6"/>
        <v>3795154</v>
      </c>
      <c r="AG18" s="9">
        <f t="shared" si="6"/>
        <v>3955051</v>
      </c>
      <c r="AH18" s="9">
        <f t="shared" si="6"/>
        <v>4123129</v>
      </c>
      <c r="AI18" s="9">
        <f t="shared" si="6"/>
        <v>4299806</v>
      </c>
      <c r="AJ18" s="9">
        <f t="shared" si="6"/>
        <v>4485522</v>
      </c>
      <c r="AK18" s="9">
        <f t="shared" si="6"/>
        <v>4680740</v>
      </c>
      <c r="AL18" s="9">
        <f t="shared" si="6"/>
        <v>4885946</v>
      </c>
      <c r="AM18" s="9">
        <f t="shared" si="6"/>
        <v>5101651</v>
      </c>
      <c r="AN18" s="9">
        <f t="shared" si="6"/>
        <v>5328392</v>
      </c>
      <c r="AO18" s="9">
        <f t="shared" si="6"/>
        <v>5566733</v>
      </c>
      <c r="AP18" s="9">
        <f t="shared" si="6"/>
        <v>5817268</v>
      </c>
      <c r="AQ18" s="9">
        <f t="shared" si="6"/>
        <v>6080621</v>
      </c>
      <c r="AR18" s="9">
        <f t="shared" si="6"/>
        <v>6357448</v>
      </c>
      <c r="AS18" s="9">
        <f t="shared" si="6"/>
        <v>6648438</v>
      </c>
      <c r="AT18" s="9"/>
      <c r="AU18" s="9"/>
    </row>
    <row r="19" spans="2:47" s="2" customFormat="1" ht="11.25">
      <c r="B19" s="7"/>
      <c r="C19" s="40" t="s">
        <v>17</v>
      </c>
      <c r="E19" s="22"/>
      <c r="F19" s="22"/>
      <c r="G19" s="9">
        <v>4777500</v>
      </c>
      <c r="I19" s="9">
        <f>G19-G39</f>
        <v>4748558</v>
      </c>
      <c r="K19" s="9">
        <f>I19-I39</f>
        <v>4676592</v>
      </c>
      <c r="M19" s="9">
        <f>K19-K39</f>
        <v>4600944</v>
      </c>
      <c r="O19" s="9">
        <f>M19-M39</f>
        <v>4521426</v>
      </c>
      <c r="Q19" s="9">
        <f>O19-O39</f>
        <v>4437839</v>
      </c>
      <c r="S19" s="9">
        <f>Q19-Q39</f>
        <v>4350176</v>
      </c>
      <c r="U19" s="9">
        <f>S19-S39</f>
        <v>4257817</v>
      </c>
      <c r="W19" s="9">
        <f>U19-U39</f>
        <v>4160733</v>
      </c>
      <c r="X19" s="9">
        <f aca="true" t="shared" si="7" ref="X19:AS19">W19-W39</f>
        <v>4058461</v>
      </c>
      <c r="Y19" s="9">
        <f t="shared" si="7"/>
        <v>3951189</v>
      </c>
      <c r="Z19" s="9">
        <f t="shared" si="7"/>
        <v>3838429</v>
      </c>
      <c r="AA19" s="9">
        <f t="shared" si="7"/>
        <v>3719900</v>
      </c>
      <c r="AB19" s="9">
        <f t="shared" si="7"/>
        <v>3595307</v>
      </c>
      <c r="AC19" s="9">
        <f t="shared" si="7"/>
        <v>3464340</v>
      </c>
      <c r="AD19" s="9">
        <f t="shared" si="7"/>
        <v>3326672</v>
      </c>
      <c r="AE19" s="9">
        <f t="shared" si="7"/>
        <v>3181961</v>
      </c>
      <c r="AF19" s="9">
        <f t="shared" si="7"/>
        <v>3029846</v>
      </c>
      <c r="AG19" s="9">
        <f t="shared" si="7"/>
        <v>2869949</v>
      </c>
      <c r="AH19" s="9">
        <f t="shared" si="7"/>
        <v>2701871</v>
      </c>
      <c r="AI19" s="9">
        <f t="shared" si="7"/>
        <v>2525194</v>
      </c>
      <c r="AJ19" s="9">
        <f t="shared" si="7"/>
        <v>2339478</v>
      </c>
      <c r="AK19" s="9">
        <f t="shared" si="7"/>
        <v>2144260</v>
      </c>
      <c r="AL19" s="9">
        <f t="shared" si="7"/>
        <v>1939054</v>
      </c>
      <c r="AM19" s="9">
        <f t="shared" si="7"/>
        <v>1723349</v>
      </c>
      <c r="AN19" s="9">
        <f t="shared" si="7"/>
        <v>1496608</v>
      </c>
      <c r="AO19" s="9">
        <f t="shared" si="7"/>
        <v>1258267</v>
      </c>
      <c r="AP19" s="9">
        <f t="shared" si="7"/>
        <v>1007732</v>
      </c>
      <c r="AQ19" s="9">
        <f t="shared" si="7"/>
        <v>744379</v>
      </c>
      <c r="AR19" s="9">
        <f t="shared" si="7"/>
        <v>467552</v>
      </c>
      <c r="AS19" s="9">
        <f t="shared" si="7"/>
        <v>176562</v>
      </c>
      <c r="AT19" s="9"/>
      <c r="AU19" s="9"/>
    </row>
    <row r="20" spans="2:47" s="2" customFormat="1" ht="11.25">
      <c r="B20" s="2" t="s">
        <v>32</v>
      </c>
      <c r="G20" s="9">
        <v>1000000</v>
      </c>
      <c r="I20" s="9">
        <f>SUM(G20:G22)</f>
        <v>1052972.2222222222</v>
      </c>
      <c r="K20" s="9">
        <f>SUM(I20:I22)</f>
        <v>1105238.0555555555</v>
      </c>
      <c r="M20" s="9">
        <f>SUM(K20:K22)</f>
        <v>1157510.7138888887</v>
      </c>
      <c r="O20" s="9">
        <f>SUM(M20:M22)</f>
        <v>1209783.440472222</v>
      </c>
      <c r="Q20" s="9">
        <f>SUM(O20:O22)</f>
        <v>1262056.167738055</v>
      </c>
      <c r="S20" s="9">
        <f>SUM(Q20:Q22)</f>
        <v>1314328.8950107133</v>
      </c>
      <c r="U20" s="9">
        <f>SUM(S20:S22)</f>
        <v>1366601.6222834399</v>
      </c>
      <c r="W20" s="9">
        <f>SUM(U20:U22)</f>
        <v>1418874.3495561671</v>
      </c>
      <c r="X20" s="9">
        <f>SUM(W20:W22)</f>
        <v>1471147.0768288944</v>
      </c>
      <c r="Y20" s="9">
        <f>SUM(X20:X22)</f>
        <v>1523419.8041015526</v>
      </c>
      <c r="Z20" s="9">
        <f>SUM(Y20:Y22)</f>
        <v>1575692.5313742799</v>
      </c>
      <c r="AA20" s="9">
        <f>SUM(Z20:Z22)</f>
        <v>1627965.2586470065</v>
      </c>
      <c r="AB20" s="9">
        <f>SUM(AA20:AA22)</f>
        <v>1680237.9859197338</v>
      </c>
      <c r="AC20" s="9">
        <f aca="true" t="shared" si="8" ref="AC20:AS20">SUM(AB20:AB22)</f>
        <v>1732510.713192461</v>
      </c>
      <c r="AD20" s="9">
        <f t="shared" si="8"/>
        <v>1784783.4404651884</v>
      </c>
      <c r="AE20" s="9">
        <f t="shared" si="8"/>
        <v>1837056.1677379156</v>
      </c>
      <c r="AF20" s="9">
        <f t="shared" si="8"/>
        <v>1889328.895010643</v>
      </c>
      <c r="AG20" s="9">
        <f t="shared" si="8"/>
        <v>1941601.6222833702</v>
      </c>
      <c r="AH20" s="9">
        <f t="shared" si="8"/>
        <v>1993874.3495560975</v>
      </c>
      <c r="AI20" s="9">
        <f t="shared" si="8"/>
        <v>2046147.0768288248</v>
      </c>
      <c r="AJ20" s="9">
        <f t="shared" si="8"/>
        <v>2098419.8041015523</v>
      </c>
      <c r="AK20" s="9">
        <f t="shared" si="8"/>
        <v>2150692.53137428</v>
      </c>
      <c r="AL20" s="9">
        <f t="shared" si="8"/>
        <v>2202965.2586470074</v>
      </c>
      <c r="AM20" s="9">
        <f t="shared" si="8"/>
        <v>2255237.985919735</v>
      </c>
      <c r="AN20" s="9">
        <f t="shared" si="8"/>
        <v>2307510.7131924625</v>
      </c>
      <c r="AO20" s="9">
        <f t="shared" si="8"/>
        <v>2359783.44046519</v>
      </c>
      <c r="AP20" s="9">
        <f t="shared" si="8"/>
        <v>2412056.1677379175</v>
      </c>
      <c r="AQ20" s="9">
        <f t="shared" si="8"/>
        <v>2464328.895010645</v>
      </c>
      <c r="AR20" s="9">
        <f t="shared" si="8"/>
        <v>2516601.6222833726</v>
      </c>
      <c r="AS20" s="9">
        <f t="shared" si="8"/>
        <v>2568874.3495561</v>
      </c>
      <c r="AT20" s="9"/>
      <c r="AU20" s="9"/>
    </row>
    <row r="21" spans="3:47" s="2" customFormat="1" ht="11.25">
      <c r="C21" s="2" t="s">
        <v>44</v>
      </c>
      <c r="G21" s="9">
        <f>G63*0.01</f>
        <v>68250</v>
      </c>
      <c r="I21" s="9">
        <f>(G63+G21)*0.01</f>
        <v>68932.5</v>
      </c>
      <c r="K21" s="9">
        <f>(6825000+I21)*0.01</f>
        <v>68939.325</v>
      </c>
      <c r="L21" s="9">
        <f>(J64+J21)*0.01</f>
        <v>0</v>
      </c>
      <c r="M21" s="9">
        <f aca="true" t="shared" si="9" ref="M21:AS21">(6825000+K21)*0.01</f>
        <v>68939.39325000001</v>
      </c>
      <c r="N21" s="9">
        <f t="shared" si="9"/>
        <v>68250</v>
      </c>
      <c r="O21" s="9">
        <f t="shared" si="9"/>
        <v>68939.3939325</v>
      </c>
      <c r="P21" s="9">
        <f t="shared" si="9"/>
        <v>68932.5</v>
      </c>
      <c r="Q21" s="9">
        <f t="shared" si="9"/>
        <v>68939.393939325</v>
      </c>
      <c r="R21" s="9">
        <f t="shared" si="9"/>
        <v>68939.325</v>
      </c>
      <c r="S21" s="9">
        <f t="shared" si="9"/>
        <v>68939.39393939325</v>
      </c>
      <c r="T21" s="9">
        <f t="shared" si="9"/>
        <v>68939.39325000001</v>
      </c>
      <c r="U21" s="9">
        <f t="shared" si="9"/>
        <v>68939.39393939394</v>
      </c>
      <c r="V21" s="9">
        <f t="shared" si="9"/>
        <v>68939.3939325</v>
      </c>
      <c r="W21" s="9">
        <f t="shared" si="9"/>
        <v>68939.39393939394</v>
      </c>
      <c r="X21" s="9">
        <f t="shared" si="9"/>
        <v>68939.393939325</v>
      </c>
      <c r="Y21" s="9">
        <f t="shared" si="9"/>
        <v>68939.39393939394</v>
      </c>
      <c r="Z21" s="9">
        <f t="shared" si="9"/>
        <v>68939.39393939325</v>
      </c>
      <c r="AA21" s="9">
        <f t="shared" si="9"/>
        <v>68939.39393939394</v>
      </c>
      <c r="AB21" s="9">
        <f t="shared" si="9"/>
        <v>68939.39393939394</v>
      </c>
      <c r="AC21" s="9">
        <f t="shared" si="9"/>
        <v>68939.39393939394</v>
      </c>
      <c r="AD21" s="9">
        <f t="shared" si="9"/>
        <v>68939.39393939394</v>
      </c>
      <c r="AE21" s="9">
        <f t="shared" si="9"/>
        <v>68939.39393939394</v>
      </c>
      <c r="AF21" s="9">
        <f t="shared" si="9"/>
        <v>68939.39393939394</v>
      </c>
      <c r="AG21" s="9">
        <f t="shared" si="9"/>
        <v>68939.39393939394</v>
      </c>
      <c r="AH21" s="9">
        <f t="shared" si="9"/>
        <v>68939.39393939394</v>
      </c>
      <c r="AI21" s="9">
        <f t="shared" si="9"/>
        <v>68939.39393939394</v>
      </c>
      <c r="AJ21" s="9">
        <f t="shared" si="9"/>
        <v>68939.39393939394</v>
      </c>
      <c r="AK21" s="9">
        <f t="shared" si="9"/>
        <v>68939.39393939394</v>
      </c>
      <c r="AL21" s="9">
        <f t="shared" si="9"/>
        <v>68939.39393939394</v>
      </c>
      <c r="AM21" s="9">
        <f t="shared" si="9"/>
        <v>68939.39393939394</v>
      </c>
      <c r="AN21" s="9">
        <f t="shared" si="9"/>
        <v>68939.39393939394</v>
      </c>
      <c r="AO21" s="9">
        <f t="shared" si="9"/>
        <v>68939.39393939394</v>
      </c>
      <c r="AP21" s="9">
        <f t="shared" si="9"/>
        <v>68939.39393939394</v>
      </c>
      <c r="AQ21" s="9">
        <f t="shared" si="9"/>
        <v>68939.39393939394</v>
      </c>
      <c r="AR21" s="9">
        <f t="shared" si="9"/>
        <v>68939.39393939394</v>
      </c>
      <c r="AS21" s="9">
        <f t="shared" si="9"/>
        <v>68939.39393939394</v>
      </c>
      <c r="AT21" s="9"/>
      <c r="AU21" s="54">
        <f>SUM(G21:AS21)</f>
        <v>2480425.466789105</v>
      </c>
    </row>
    <row r="22" spans="2:47" s="2" customFormat="1" ht="11.25">
      <c r="B22" s="2" t="s">
        <v>5</v>
      </c>
      <c r="G22" s="21">
        <f>-500000/30*(11/12)</f>
        <v>-15277.777777777777</v>
      </c>
      <c r="I22" s="21">
        <f>-500000/30</f>
        <v>-16666.666666666668</v>
      </c>
      <c r="K22" s="21">
        <f>-500000/30</f>
        <v>-16666.666666666668</v>
      </c>
      <c r="M22" s="21">
        <f>-500000/30</f>
        <v>-16666.666666666668</v>
      </c>
      <c r="O22" s="21">
        <f>-500000/30</f>
        <v>-16666.666666666668</v>
      </c>
      <c r="Q22" s="21">
        <f>-500000/30</f>
        <v>-16666.666666666668</v>
      </c>
      <c r="S22" s="21">
        <f>-500000/30</f>
        <v>-16666.666666666668</v>
      </c>
      <c r="U22" s="21">
        <f>-500000/30</f>
        <v>-16666.666666666668</v>
      </c>
      <c r="W22" s="21">
        <f aca="true" t="shared" si="10" ref="W22:AB22">-500000/30</f>
        <v>-16666.666666666668</v>
      </c>
      <c r="X22" s="21">
        <f t="shared" si="10"/>
        <v>-16666.666666666668</v>
      </c>
      <c r="Y22" s="21">
        <f t="shared" si="10"/>
        <v>-16666.666666666668</v>
      </c>
      <c r="Z22" s="21">
        <f t="shared" si="10"/>
        <v>-16666.666666666668</v>
      </c>
      <c r="AA22" s="21">
        <f t="shared" si="10"/>
        <v>-16666.666666666668</v>
      </c>
      <c r="AB22" s="21">
        <f t="shared" si="10"/>
        <v>-16666.666666666668</v>
      </c>
      <c r="AC22" s="21">
        <f aca="true" t="shared" si="11" ref="AC22:AS22">-500000/30</f>
        <v>-16666.666666666668</v>
      </c>
      <c r="AD22" s="21">
        <f t="shared" si="11"/>
        <v>-16666.666666666668</v>
      </c>
      <c r="AE22" s="21">
        <f t="shared" si="11"/>
        <v>-16666.666666666668</v>
      </c>
      <c r="AF22" s="21">
        <f t="shared" si="11"/>
        <v>-16666.666666666668</v>
      </c>
      <c r="AG22" s="21">
        <f t="shared" si="11"/>
        <v>-16666.666666666668</v>
      </c>
      <c r="AH22" s="21">
        <f t="shared" si="11"/>
        <v>-16666.666666666668</v>
      </c>
      <c r="AI22" s="21">
        <f t="shared" si="11"/>
        <v>-16666.666666666668</v>
      </c>
      <c r="AJ22" s="21">
        <f t="shared" si="11"/>
        <v>-16666.666666666668</v>
      </c>
      <c r="AK22" s="21">
        <f t="shared" si="11"/>
        <v>-16666.666666666668</v>
      </c>
      <c r="AL22" s="21">
        <f t="shared" si="11"/>
        <v>-16666.666666666668</v>
      </c>
      <c r="AM22" s="21">
        <f t="shared" si="11"/>
        <v>-16666.666666666668</v>
      </c>
      <c r="AN22" s="21">
        <f t="shared" si="11"/>
        <v>-16666.666666666668</v>
      </c>
      <c r="AO22" s="21">
        <f t="shared" si="11"/>
        <v>-16666.666666666668</v>
      </c>
      <c r="AP22" s="21">
        <f t="shared" si="11"/>
        <v>-16666.666666666668</v>
      </c>
      <c r="AQ22" s="21">
        <f t="shared" si="11"/>
        <v>-16666.666666666668</v>
      </c>
      <c r="AR22" s="21">
        <f t="shared" si="11"/>
        <v>-16666.666666666668</v>
      </c>
      <c r="AS22" s="21">
        <f t="shared" si="11"/>
        <v>-16666.666666666668</v>
      </c>
      <c r="AT22" s="21"/>
      <c r="AU22" s="21"/>
    </row>
    <row r="23" spans="2:47" s="2" customFormat="1" ht="12" thickBot="1">
      <c r="B23" s="2" t="s">
        <v>1</v>
      </c>
      <c r="G23" s="38">
        <f>SUM(G16:G22)</f>
        <v>9354319.263140185</v>
      </c>
      <c r="H23" s="25"/>
      <c r="I23" s="38">
        <f>SUM(I16:I22)</f>
        <v>9532700.669890303</v>
      </c>
      <c r="J23" s="25"/>
      <c r="K23" s="38">
        <f>SUM(K16:K22)</f>
        <v>9559973.328223636</v>
      </c>
      <c r="M23" s="38">
        <f>SUM(M16:M22)</f>
        <v>9587246.05480697</v>
      </c>
      <c r="O23" s="38">
        <f>SUM(O16:O22)</f>
        <v>9614518.782072805</v>
      </c>
      <c r="Q23" s="38">
        <f>SUM(Q16:Q22)</f>
        <v>9641791.509345463</v>
      </c>
      <c r="S23" s="38">
        <f>SUM(S16:S22)</f>
        <v>9669064.236618187</v>
      </c>
      <c r="U23" s="38">
        <f>SUM(U16:U22)</f>
        <v>9696336.963890916</v>
      </c>
      <c r="W23" s="38">
        <f aca="true" t="shared" si="12" ref="W23:AB23">SUM(W16:W22)</f>
        <v>9723609.691163642</v>
      </c>
      <c r="X23" s="38">
        <f t="shared" si="12"/>
        <v>9750882.418436302</v>
      </c>
      <c r="Y23" s="38">
        <f t="shared" si="12"/>
        <v>9778155.145709027</v>
      </c>
      <c r="Z23" s="38">
        <f t="shared" si="12"/>
        <v>9805427.872981753</v>
      </c>
      <c r="AA23" s="38">
        <f t="shared" si="12"/>
        <v>9832700.600254482</v>
      </c>
      <c r="AB23" s="38">
        <f t="shared" si="12"/>
        <v>9859973.327527208</v>
      </c>
      <c r="AC23" s="38">
        <f aca="true" t="shared" si="13" ref="AC23:AS23">SUM(AC16:AC22)</f>
        <v>9887246.054799935</v>
      </c>
      <c r="AD23" s="38">
        <f t="shared" si="13"/>
        <v>9914518.782072663</v>
      </c>
      <c r="AE23" s="38">
        <f t="shared" si="13"/>
        <v>9941791.50934539</v>
      </c>
      <c r="AF23" s="38">
        <f t="shared" si="13"/>
        <v>9969064.236618118</v>
      </c>
      <c r="AG23" s="38">
        <f t="shared" si="13"/>
        <v>9996336.963890845</v>
      </c>
      <c r="AH23" s="38">
        <f>SUM(AH16:AH22)</f>
        <v>10331369.491163572</v>
      </c>
      <c r="AI23" s="38">
        <f>SUM(AI16:AI22)</f>
        <v>10358642.218436299</v>
      </c>
      <c r="AJ23" s="38">
        <f t="shared" si="13"/>
        <v>10385914.945709027</v>
      </c>
      <c r="AK23" s="38">
        <f t="shared" si="13"/>
        <v>10413187.672981754</v>
      </c>
      <c r="AL23" s="38">
        <f t="shared" si="13"/>
        <v>10440460.400254482</v>
      </c>
      <c r="AM23" s="38">
        <f t="shared" si="13"/>
        <v>10467733.127527209</v>
      </c>
      <c r="AN23" s="38">
        <f t="shared" si="13"/>
        <v>10495005.854799937</v>
      </c>
      <c r="AO23" s="38">
        <f t="shared" si="13"/>
        <v>10522278.582072664</v>
      </c>
      <c r="AP23" s="38">
        <f t="shared" si="13"/>
        <v>10549551.309345393</v>
      </c>
      <c r="AQ23" s="38">
        <f t="shared" si="13"/>
        <v>10576824.03661812</v>
      </c>
      <c r="AR23" s="38">
        <f t="shared" si="13"/>
        <v>10604096.763890848</v>
      </c>
      <c r="AS23" s="38">
        <f t="shared" si="13"/>
        <v>10631369.491163574</v>
      </c>
      <c r="AT23" s="38"/>
      <c r="AU23" s="38"/>
    </row>
    <row r="24" spans="2:47" s="2" customFormat="1" ht="6" customHeight="1" thickTop="1">
      <c r="B24" s="7"/>
      <c r="G24" s="9"/>
      <c r="I24" s="9"/>
      <c r="K24" s="9"/>
      <c r="M24" s="9"/>
      <c r="O24" s="9"/>
      <c r="Q24" s="9"/>
      <c r="S24" s="9"/>
      <c r="U24" s="9"/>
      <c r="W24" s="9"/>
      <c r="X24" s="9"/>
      <c r="Y24" s="9"/>
      <c r="Z24" s="9"/>
      <c r="AA24" s="9"/>
      <c r="AB24" s="9"/>
      <c r="AC24" s="9"/>
      <c r="AD24" s="9"/>
      <c r="AE24" s="9"/>
      <c r="AF24" s="9"/>
      <c r="AG24" s="9"/>
      <c r="AH24" s="9"/>
      <c r="AI24" s="9"/>
      <c r="AJ24" s="9"/>
      <c r="AK24" s="9"/>
      <c r="AL24" s="9"/>
      <c r="AM24" s="9"/>
      <c r="AN24" s="9"/>
      <c r="AO24" s="9"/>
      <c r="AP24" s="9"/>
      <c r="AQ24" s="9"/>
      <c r="AR24" s="9"/>
      <c r="AS24" s="9"/>
      <c r="AT24" s="9"/>
      <c r="AU24" s="9"/>
    </row>
    <row r="25" spans="2:47" s="2" customFormat="1" ht="11.25">
      <c r="B25" s="45" t="s">
        <v>2</v>
      </c>
      <c r="C25" s="46"/>
      <c r="F25" s="22"/>
      <c r="G25" s="9"/>
      <c r="H25" s="19"/>
      <c r="I25" s="9"/>
      <c r="K25" s="9"/>
      <c r="M25" s="9"/>
      <c r="O25" s="9"/>
      <c r="Q25" s="9"/>
      <c r="S25" s="9"/>
      <c r="U25" s="9"/>
      <c r="W25" s="9"/>
      <c r="X25" s="9"/>
      <c r="Y25" s="9"/>
      <c r="Z25" s="9"/>
      <c r="AA25" s="9"/>
      <c r="AB25" s="9"/>
      <c r="AC25" s="9"/>
      <c r="AD25" s="9"/>
      <c r="AE25" s="9"/>
      <c r="AF25" s="9"/>
      <c r="AG25" s="9"/>
      <c r="AH25" s="9"/>
      <c r="AI25" s="9"/>
      <c r="AJ25" s="9"/>
      <c r="AK25" s="9"/>
      <c r="AL25" s="9"/>
      <c r="AM25" s="9"/>
      <c r="AN25" s="9"/>
      <c r="AO25" s="9"/>
      <c r="AP25" s="9"/>
      <c r="AQ25" s="9"/>
      <c r="AR25" s="9"/>
      <c r="AS25" s="9"/>
      <c r="AT25" s="9"/>
      <c r="AU25" s="9"/>
    </row>
    <row r="26" spans="2:47" s="2" customFormat="1" ht="11.25">
      <c r="B26" s="2" t="s">
        <v>15</v>
      </c>
      <c r="F26" s="22"/>
      <c r="G26" s="53">
        <v>256467</v>
      </c>
      <c r="H26" s="19"/>
      <c r="I26" s="20">
        <v>307759.8</v>
      </c>
      <c r="K26" s="20">
        <v>307759.8</v>
      </c>
      <c r="M26" s="20">
        <v>307759.8</v>
      </c>
      <c r="O26" s="20">
        <v>307759.8</v>
      </c>
      <c r="Q26" s="20">
        <v>307759.8</v>
      </c>
      <c r="S26" s="20">
        <v>307759.8</v>
      </c>
      <c r="U26" s="20">
        <v>307759.8</v>
      </c>
      <c r="W26" s="20">
        <v>307759.8</v>
      </c>
      <c r="X26" s="20">
        <v>307759.8</v>
      </c>
      <c r="Y26" s="20">
        <v>307759.8</v>
      </c>
      <c r="Z26" s="20">
        <v>307759.8</v>
      </c>
      <c r="AA26" s="20">
        <v>307759.8</v>
      </c>
      <c r="AB26" s="20">
        <v>307759.8</v>
      </c>
      <c r="AC26" s="20">
        <v>307759.8</v>
      </c>
      <c r="AD26" s="20">
        <v>307759.8</v>
      </c>
      <c r="AE26" s="20">
        <v>307759.8</v>
      </c>
      <c r="AF26" s="20">
        <v>307759.8</v>
      </c>
      <c r="AG26" s="20">
        <v>307759.8</v>
      </c>
      <c r="AH26" s="20">
        <v>307759.8</v>
      </c>
      <c r="AI26" s="20">
        <v>307759.8</v>
      </c>
      <c r="AJ26" s="20">
        <v>307759.8</v>
      </c>
      <c r="AK26" s="20">
        <v>307759.8</v>
      </c>
      <c r="AL26" s="20">
        <v>307759.8</v>
      </c>
      <c r="AM26" s="20">
        <v>307759.8</v>
      </c>
      <c r="AN26" s="20">
        <v>307759.8</v>
      </c>
      <c r="AO26" s="20">
        <v>307759.8</v>
      </c>
      <c r="AP26" s="20">
        <v>307759.8</v>
      </c>
      <c r="AQ26" s="20">
        <v>307759.8</v>
      </c>
      <c r="AR26" s="20">
        <v>307759.8</v>
      </c>
      <c r="AS26" s="20">
        <v>307759.8</v>
      </c>
      <c r="AT26" s="20"/>
      <c r="AU26" s="20"/>
    </row>
    <row r="27" spans="2:47" s="2" customFormat="1" ht="11.25">
      <c r="B27" s="2" t="s">
        <v>53</v>
      </c>
      <c r="F27" s="22"/>
      <c r="G27" s="9">
        <f>F62*(11/12)</f>
        <v>176458.3333333333</v>
      </c>
      <c r="H27" s="19"/>
      <c r="I27" s="9">
        <f>F62</f>
        <v>192500</v>
      </c>
      <c r="K27" s="9">
        <f>I27</f>
        <v>192500</v>
      </c>
      <c r="L27" s="9">
        <f>J62</f>
        <v>0</v>
      </c>
      <c r="M27" s="9">
        <f aca="true" t="shared" si="14" ref="M27:AS27">K27</f>
        <v>192500</v>
      </c>
      <c r="N27" s="9">
        <f t="shared" si="14"/>
        <v>0</v>
      </c>
      <c r="O27" s="9">
        <f t="shared" si="14"/>
        <v>192500</v>
      </c>
      <c r="P27" s="9">
        <f t="shared" si="14"/>
        <v>0</v>
      </c>
      <c r="Q27" s="9">
        <f t="shared" si="14"/>
        <v>192500</v>
      </c>
      <c r="R27" s="9">
        <f t="shared" si="14"/>
        <v>0</v>
      </c>
      <c r="S27" s="9">
        <f t="shared" si="14"/>
        <v>192500</v>
      </c>
      <c r="T27" s="9">
        <f t="shared" si="14"/>
        <v>0</v>
      </c>
      <c r="U27" s="9">
        <f t="shared" si="14"/>
        <v>192500</v>
      </c>
      <c r="V27" s="9">
        <f t="shared" si="14"/>
        <v>0</v>
      </c>
      <c r="W27" s="9">
        <f>U27</f>
        <v>192500</v>
      </c>
      <c r="X27" s="9">
        <f>W27</f>
        <v>192500</v>
      </c>
      <c r="Y27" s="9">
        <f t="shared" si="14"/>
        <v>192500</v>
      </c>
      <c r="Z27" s="9">
        <f t="shared" si="14"/>
        <v>192500</v>
      </c>
      <c r="AA27" s="9">
        <f t="shared" si="14"/>
        <v>192500</v>
      </c>
      <c r="AB27" s="9">
        <f t="shared" si="14"/>
        <v>192500</v>
      </c>
      <c r="AC27" s="9">
        <f t="shared" si="14"/>
        <v>192500</v>
      </c>
      <c r="AD27" s="9">
        <f t="shared" si="14"/>
        <v>192500</v>
      </c>
      <c r="AE27" s="9">
        <f t="shared" si="14"/>
        <v>192500</v>
      </c>
      <c r="AF27" s="9">
        <f t="shared" si="14"/>
        <v>192500</v>
      </c>
      <c r="AG27" s="9">
        <f t="shared" si="14"/>
        <v>192500</v>
      </c>
      <c r="AH27" s="9">
        <f t="shared" si="14"/>
        <v>192500</v>
      </c>
      <c r="AI27" s="9">
        <f t="shared" si="14"/>
        <v>192500</v>
      </c>
      <c r="AJ27" s="9">
        <f t="shared" si="14"/>
        <v>192500</v>
      </c>
      <c r="AK27" s="9">
        <f t="shared" si="14"/>
        <v>192500</v>
      </c>
      <c r="AL27" s="9">
        <f t="shared" si="14"/>
        <v>192500</v>
      </c>
      <c r="AM27" s="9">
        <f t="shared" si="14"/>
        <v>192500</v>
      </c>
      <c r="AN27" s="9">
        <f t="shared" si="14"/>
        <v>192500</v>
      </c>
      <c r="AO27" s="9">
        <f t="shared" si="14"/>
        <v>192500</v>
      </c>
      <c r="AP27" s="9">
        <f t="shared" si="14"/>
        <v>192500</v>
      </c>
      <c r="AQ27" s="9">
        <f t="shared" si="14"/>
        <v>192500</v>
      </c>
      <c r="AR27" s="9">
        <f t="shared" si="14"/>
        <v>192500</v>
      </c>
      <c r="AS27" s="9">
        <f t="shared" si="14"/>
        <v>192500</v>
      </c>
      <c r="AT27" s="9"/>
      <c r="AU27" s="9"/>
    </row>
    <row r="28" spans="2:47" s="2" customFormat="1" ht="11.25">
      <c r="B28" s="2" t="s">
        <v>23</v>
      </c>
      <c r="F28" s="22"/>
      <c r="G28" s="9">
        <f>G20+G22</f>
        <v>984722.2222222222</v>
      </c>
      <c r="H28" s="19"/>
      <c r="I28" s="9">
        <f>I20+I22</f>
        <v>1036305.5555555556</v>
      </c>
      <c r="K28" s="9">
        <f>K20+K22</f>
        <v>1088571.3888888888</v>
      </c>
      <c r="M28" s="9">
        <f>M20+M22</f>
        <v>1140844.047222222</v>
      </c>
      <c r="O28" s="9">
        <f>O20+O22</f>
        <v>1193116.7738055552</v>
      </c>
      <c r="Q28" s="9">
        <f>Q20+Q22</f>
        <v>1245389.5010713884</v>
      </c>
      <c r="S28" s="9">
        <f>S20+S22</f>
        <v>1297662.2283440465</v>
      </c>
      <c r="U28" s="9">
        <f>U20+U22</f>
        <v>1349934.955616773</v>
      </c>
      <c r="W28" s="9">
        <f aca="true" t="shared" si="15" ref="W28:AB28">W20+W22</f>
        <v>1402207.6828895004</v>
      </c>
      <c r="X28" s="9">
        <f t="shared" si="15"/>
        <v>1454480.4101622277</v>
      </c>
      <c r="Y28" s="9">
        <f t="shared" si="15"/>
        <v>1506753.1374348858</v>
      </c>
      <c r="Z28" s="9">
        <f t="shared" si="15"/>
        <v>1559025.8647076131</v>
      </c>
      <c r="AA28" s="9">
        <f t="shared" si="15"/>
        <v>1611298.5919803397</v>
      </c>
      <c r="AB28" s="9">
        <f t="shared" si="15"/>
        <v>1663571.319253067</v>
      </c>
      <c r="AC28" s="9">
        <f aca="true" t="shared" si="16" ref="AC28:AS28">AC20+AC22</f>
        <v>1715844.0465257943</v>
      </c>
      <c r="AD28" s="9">
        <f t="shared" si="16"/>
        <v>1768116.7737985216</v>
      </c>
      <c r="AE28" s="9">
        <f t="shared" si="16"/>
        <v>1820389.501071249</v>
      </c>
      <c r="AF28" s="9">
        <f t="shared" si="16"/>
        <v>1872662.2283439762</v>
      </c>
      <c r="AG28" s="9">
        <f t="shared" si="16"/>
        <v>1924934.9556167035</v>
      </c>
      <c r="AH28" s="9">
        <f t="shared" si="16"/>
        <v>1977207.6828894308</v>
      </c>
      <c r="AI28" s="9">
        <f t="shared" si="16"/>
        <v>2029480.410162158</v>
      </c>
      <c r="AJ28" s="9">
        <f t="shared" si="16"/>
        <v>2081753.1374348856</v>
      </c>
      <c r="AK28" s="9">
        <f t="shared" si="16"/>
        <v>2134025.8647076134</v>
      </c>
      <c r="AL28" s="9">
        <f t="shared" si="16"/>
        <v>2186298.591980341</v>
      </c>
      <c r="AM28" s="9">
        <f t="shared" si="16"/>
        <v>2238571.3192530684</v>
      </c>
      <c r="AN28" s="9">
        <f t="shared" si="16"/>
        <v>2290844.046525796</v>
      </c>
      <c r="AO28" s="9">
        <f t="shared" si="16"/>
        <v>2343116.7737985235</v>
      </c>
      <c r="AP28" s="9">
        <f t="shared" si="16"/>
        <v>2395389.501071251</v>
      </c>
      <c r="AQ28" s="9">
        <f t="shared" si="16"/>
        <v>2447662.2283439785</v>
      </c>
      <c r="AR28" s="9">
        <f t="shared" si="16"/>
        <v>2499934.955616706</v>
      </c>
      <c r="AS28" s="9">
        <f t="shared" si="16"/>
        <v>2552207.6828894336</v>
      </c>
      <c r="AT28" s="9"/>
      <c r="AU28" s="9"/>
    </row>
    <row r="29" spans="2:47" s="2" customFormat="1" ht="11.25">
      <c r="B29" s="2" t="s">
        <v>24</v>
      </c>
      <c r="F29" s="22"/>
      <c r="G29" s="9">
        <f>G15</f>
        <v>22916.666666666664</v>
      </c>
      <c r="H29" s="19"/>
      <c r="I29" s="9">
        <v>25000</v>
      </c>
      <c r="K29" s="9">
        <v>25000</v>
      </c>
      <c r="M29" s="9">
        <v>25000</v>
      </c>
      <c r="O29" s="9">
        <v>25000</v>
      </c>
      <c r="Q29" s="9">
        <v>25000</v>
      </c>
      <c r="S29" s="9">
        <v>25000</v>
      </c>
      <c r="U29" s="9">
        <v>25000</v>
      </c>
      <c r="W29" s="9">
        <v>25000</v>
      </c>
      <c r="X29" s="9">
        <v>25000</v>
      </c>
      <c r="Y29" s="9">
        <v>25000</v>
      </c>
      <c r="Z29" s="9">
        <v>25000</v>
      </c>
      <c r="AA29" s="9">
        <v>25000</v>
      </c>
      <c r="AB29" s="9">
        <v>25000</v>
      </c>
      <c r="AC29" s="9">
        <v>25000</v>
      </c>
      <c r="AD29" s="9">
        <v>25000</v>
      </c>
      <c r="AE29" s="9">
        <v>25000</v>
      </c>
      <c r="AF29" s="9">
        <v>25000</v>
      </c>
      <c r="AG29" s="9">
        <v>25000</v>
      </c>
      <c r="AH29" s="9">
        <v>25000</v>
      </c>
      <c r="AI29" s="9">
        <v>25000</v>
      </c>
      <c r="AJ29" s="9">
        <v>25000</v>
      </c>
      <c r="AK29" s="9">
        <v>25000</v>
      </c>
      <c r="AL29" s="9">
        <v>25000</v>
      </c>
      <c r="AM29" s="9">
        <v>25000</v>
      </c>
      <c r="AN29" s="9">
        <v>25000</v>
      </c>
      <c r="AO29" s="9">
        <v>25000</v>
      </c>
      <c r="AP29" s="9">
        <v>25000</v>
      </c>
      <c r="AQ29" s="9">
        <v>25000</v>
      </c>
      <c r="AR29" s="9">
        <v>25000</v>
      </c>
      <c r="AS29" s="9">
        <v>25000</v>
      </c>
      <c r="AT29" s="9"/>
      <c r="AU29" s="9"/>
    </row>
    <row r="30" spans="2:47" s="2" customFormat="1" ht="11.25">
      <c r="B30" s="2" t="s">
        <v>26</v>
      </c>
      <c r="F30" s="27"/>
      <c r="G30" s="21">
        <f>25000*(11/12)</f>
        <v>22916.666666666664</v>
      </c>
      <c r="I30" s="21">
        <f>25000</f>
        <v>25000</v>
      </c>
      <c r="K30" s="21">
        <f>25000</f>
        <v>25000</v>
      </c>
      <c r="M30" s="21">
        <f>25000</f>
        <v>25000</v>
      </c>
      <c r="O30" s="21">
        <f>25000</f>
        <v>25000</v>
      </c>
      <c r="Q30" s="21">
        <f>25000</f>
        <v>25000</v>
      </c>
      <c r="S30" s="21">
        <f>25000</f>
        <v>25000</v>
      </c>
      <c r="U30" s="21">
        <f>25000</f>
        <v>25000</v>
      </c>
      <c r="W30" s="21">
        <f>25000</f>
        <v>25000</v>
      </c>
      <c r="X30" s="21">
        <f>25000</f>
        <v>25000</v>
      </c>
      <c r="Y30" s="21">
        <f>25000</f>
        <v>25000</v>
      </c>
      <c r="Z30" s="21">
        <f>25000</f>
        <v>25000</v>
      </c>
      <c r="AA30" s="21">
        <f>25000</f>
        <v>25000</v>
      </c>
      <c r="AB30" s="21">
        <f>25000</f>
        <v>25000</v>
      </c>
      <c r="AC30" s="21">
        <f>25000</f>
        <v>25000</v>
      </c>
      <c r="AD30" s="21">
        <f>25000</f>
        <v>25000</v>
      </c>
      <c r="AE30" s="21">
        <f>25000</f>
        <v>25000</v>
      </c>
      <c r="AF30" s="21">
        <f>25000</f>
        <v>25000</v>
      </c>
      <c r="AG30" s="21">
        <f>25000</f>
        <v>25000</v>
      </c>
      <c r="AH30" s="21">
        <f>25000</f>
        <v>25000</v>
      </c>
      <c r="AI30" s="21">
        <f>25000</f>
        <v>25000</v>
      </c>
      <c r="AJ30" s="21">
        <f>25000</f>
        <v>25000</v>
      </c>
      <c r="AK30" s="21">
        <f>25000</f>
        <v>25000</v>
      </c>
      <c r="AL30" s="21">
        <f>25000</f>
        <v>25000</v>
      </c>
      <c r="AM30" s="21">
        <f>25000</f>
        <v>25000</v>
      </c>
      <c r="AN30" s="21">
        <f>25000</f>
        <v>25000</v>
      </c>
      <c r="AO30" s="21">
        <f>25000</f>
        <v>25000</v>
      </c>
      <c r="AP30" s="21">
        <f>25000</f>
        <v>25000</v>
      </c>
      <c r="AQ30" s="21">
        <f>25000</f>
        <v>25000</v>
      </c>
      <c r="AR30" s="21">
        <f>25000</f>
        <v>25000</v>
      </c>
      <c r="AS30" s="21">
        <f>25000</f>
        <v>25000</v>
      </c>
      <c r="AT30" s="21"/>
      <c r="AU30" s="21"/>
    </row>
    <row r="31" spans="2:47" s="2" customFormat="1" ht="11.25">
      <c r="B31" s="2" t="s">
        <v>19</v>
      </c>
      <c r="F31" s="27"/>
      <c r="G31" s="36">
        <v>-1152</v>
      </c>
      <c r="I31" s="36"/>
      <c r="K31" s="36"/>
      <c r="M31" s="36"/>
      <c r="O31" s="36"/>
      <c r="Q31" s="36"/>
      <c r="R31" s="39"/>
      <c r="S31" s="36"/>
      <c r="U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row>
    <row r="32" spans="2:47" s="2" customFormat="1" ht="11.25">
      <c r="B32" s="2" t="s">
        <v>20</v>
      </c>
      <c r="F32" s="27"/>
      <c r="G32" s="36">
        <v>-9817</v>
      </c>
      <c r="I32" s="36"/>
      <c r="K32" s="36"/>
      <c r="M32" s="36"/>
      <c r="O32" s="36"/>
      <c r="Q32" s="36"/>
      <c r="S32" s="36"/>
      <c r="U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row>
    <row r="33" spans="2:47" s="2" customFormat="1" ht="11.25">
      <c r="B33" s="7" t="s">
        <v>6</v>
      </c>
      <c r="F33" s="22"/>
      <c r="G33" s="20">
        <f>SUM(G26:G32)</f>
        <v>1452511.888888889</v>
      </c>
      <c r="I33" s="20">
        <f>SUM(I26:I30)</f>
        <v>1586565.3555555556</v>
      </c>
      <c r="K33" s="20">
        <f>SUM(K26:K30)</f>
        <v>1638831.1888888888</v>
      </c>
      <c r="M33" s="20">
        <f>SUM(M26:M30)</f>
        <v>1691103.847222222</v>
      </c>
      <c r="O33" s="20">
        <f>SUM(O26:O30)</f>
        <v>1743376.5738055552</v>
      </c>
      <c r="Q33" s="20">
        <f>SUM(Q26:Q30)</f>
        <v>1795649.3010713884</v>
      </c>
      <c r="S33" s="20">
        <f>SUM(S26:S30)</f>
        <v>1847922.0283440466</v>
      </c>
      <c r="U33" s="20">
        <f>SUM(U26:U30)</f>
        <v>1900194.7556167732</v>
      </c>
      <c r="W33" s="20">
        <f aca="true" t="shared" si="17" ref="W33:AB33">SUM(W26:W30)</f>
        <v>1952467.4828895004</v>
      </c>
      <c r="X33" s="20">
        <f t="shared" si="17"/>
        <v>2004740.2101622277</v>
      </c>
      <c r="Y33" s="20">
        <f t="shared" si="17"/>
        <v>2057012.937434886</v>
      </c>
      <c r="Z33" s="20">
        <f t="shared" si="17"/>
        <v>2109285.664707613</v>
      </c>
      <c r="AA33" s="20">
        <f t="shared" si="17"/>
        <v>2161558.39198034</v>
      </c>
      <c r="AB33" s="20">
        <f t="shared" si="17"/>
        <v>2213831.119253067</v>
      </c>
      <c r="AC33" s="20">
        <f aca="true" t="shared" si="18" ref="AC33:AS33">SUM(AC26:AC30)</f>
        <v>2266103.8465257944</v>
      </c>
      <c r="AD33" s="20">
        <f t="shared" si="18"/>
        <v>2318376.5737985214</v>
      </c>
      <c r="AE33" s="20">
        <f t="shared" si="18"/>
        <v>2370649.301071249</v>
      </c>
      <c r="AF33" s="20">
        <f t="shared" si="18"/>
        <v>2422922.028343976</v>
      </c>
      <c r="AG33" s="20">
        <f t="shared" si="18"/>
        <v>2475194.7556167035</v>
      </c>
      <c r="AH33" s="20">
        <f t="shared" si="18"/>
        <v>2527467.4828894306</v>
      </c>
      <c r="AI33" s="20">
        <f t="shared" si="18"/>
        <v>2579740.210162158</v>
      </c>
      <c r="AJ33" s="20">
        <f t="shared" si="18"/>
        <v>2632012.9374348857</v>
      </c>
      <c r="AK33" s="20">
        <f t="shared" si="18"/>
        <v>2684285.664707613</v>
      </c>
      <c r="AL33" s="20">
        <f t="shared" si="18"/>
        <v>2736558.3919803407</v>
      </c>
      <c r="AM33" s="20">
        <f t="shared" si="18"/>
        <v>2788831.119253068</v>
      </c>
      <c r="AN33" s="20">
        <f t="shared" si="18"/>
        <v>2841103.8465257958</v>
      </c>
      <c r="AO33" s="20">
        <f t="shared" si="18"/>
        <v>2893376.5737985233</v>
      </c>
      <c r="AP33" s="20">
        <f t="shared" si="18"/>
        <v>2945649.301071251</v>
      </c>
      <c r="AQ33" s="20">
        <f t="shared" si="18"/>
        <v>2997922.0283439783</v>
      </c>
      <c r="AR33" s="20">
        <f t="shared" si="18"/>
        <v>3050194.755616706</v>
      </c>
      <c r="AS33" s="20">
        <f t="shared" si="18"/>
        <v>3102467.4828894334</v>
      </c>
      <c r="AT33" s="20"/>
      <c r="AU33" s="20"/>
    </row>
    <row r="34" spans="2:47" s="2" customFormat="1" ht="11.25">
      <c r="B34" s="2" t="s">
        <v>3</v>
      </c>
      <c r="G34" s="21">
        <v>4777500</v>
      </c>
      <c r="I34" s="21">
        <f>I19</f>
        <v>4748558</v>
      </c>
      <c r="K34" s="21">
        <f>K19</f>
        <v>4676592</v>
      </c>
      <c r="M34" s="21">
        <f>M19</f>
        <v>4600944</v>
      </c>
      <c r="O34" s="21">
        <f>O19</f>
        <v>4521426</v>
      </c>
      <c r="Q34" s="21">
        <f>Q19</f>
        <v>4437839</v>
      </c>
      <c r="S34" s="21">
        <f>S19</f>
        <v>4350176</v>
      </c>
      <c r="U34" s="21">
        <f>U19</f>
        <v>4257817</v>
      </c>
      <c r="W34" s="21">
        <f aca="true" t="shared" si="19" ref="W34:AB34">W19</f>
        <v>4160733</v>
      </c>
      <c r="X34" s="21">
        <f t="shared" si="19"/>
        <v>4058461</v>
      </c>
      <c r="Y34" s="21">
        <f t="shared" si="19"/>
        <v>3951189</v>
      </c>
      <c r="Z34" s="21">
        <f t="shared" si="19"/>
        <v>3838429</v>
      </c>
      <c r="AA34" s="21">
        <f t="shared" si="19"/>
        <v>3719900</v>
      </c>
      <c r="AB34" s="21">
        <f t="shared" si="19"/>
        <v>3595307</v>
      </c>
      <c r="AC34" s="21">
        <f aca="true" t="shared" si="20" ref="AC34:AS34">AC19</f>
        <v>3464340</v>
      </c>
      <c r="AD34" s="21">
        <f t="shared" si="20"/>
        <v>3326672</v>
      </c>
      <c r="AE34" s="21">
        <f t="shared" si="20"/>
        <v>3181961</v>
      </c>
      <c r="AF34" s="21">
        <f t="shared" si="20"/>
        <v>3029846</v>
      </c>
      <c r="AG34" s="21">
        <f t="shared" si="20"/>
        <v>2869949</v>
      </c>
      <c r="AH34" s="21">
        <f t="shared" si="20"/>
        <v>2701871</v>
      </c>
      <c r="AI34" s="21">
        <f t="shared" si="20"/>
        <v>2525194</v>
      </c>
      <c r="AJ34" s="21">
        <f t="shared" si="20"/>
        <v>2339478</v>
      </c>
      <c r="AK34" s="21">
        <f t="shared" si="20"/>
        <v>2144260</v>
      </c>
      <c r="AL34" s="21">
        <f t="shared" si="20"/>
        <v>1939054</v>
      </c>
      <c r="AM34" s="21">
        <f t="shared" si="20"/>
        <v>1723349</v>
      </c>
      <c r="AN34" s="21">
        <f t="shared" si="20"/>
        <v>1496608</v>
      </c>
      <c r="AO34" s="21">
        <f t="shared" si="20"/>
        <v>1258267</v>
      </c>
      <c r="AP34" s="21">
        <f t="shared" si="20"/>
        <v>1007732</v>
      </c>
      <c r="AQ34" s="21">
        <f t="shared" si="20"/>
        <v>744379</v>
      </c>
      <c r="AR34" s="21">
        <f t="shared" si="20"/>
        <v>467552</v>
      </c>
      <c r="AS34" s="21">
        <f t="shared" si="20"/>
        <v>176562</v>
      </c>
      <c r="AT34" s="21"/>
      <c r="AU34" s="21"/>
    </row>
    <row r="35" spans="2:47" s="2" customFormat="1" ht="11.25">
      <c r="B35" s="2" t="s">
        <v>8</v>
      </c>
      <c r="G35" s="23">
        <f>SUM(G33:G34)</f>
        <v>6230011.888888889</v>
      </c>
      <c r="I35" s="23">
        <f>SUM(I33:I34)</f>
        <v>6335123.355555556</v>
      </c>
      <c r="K35" s="23">
        <f>SUM(K33:K34)</f>
        <v>6315423.188888889</v>
      </c>
      <c r="M35" s="23">
        <f>SUM(M33:M34)</f>
        <v>6292047.847222222</v>
      </c>
      <c r="N35" s="37"/>
      <c r="O35" s="23">
        <f>SUM(O33:O34)</f>
        <v>6264802.573805556</v>
      </c>
      <c r="Q35" s="23">
        <f>SUM(Q33:Q34)</f>
        <v>6233488.301071389</v>
      </c>
      <c r="S35" s="23">
        <f>SUM(S33:S34)</f>
        <v>6198098.028344046</v>
      </c>
      <c r="U35" s="23">
        <f>SUM(U33:U34)</f>
        <v>6158011.755616773</v>
      </c>
      <c r="W35" s="23">
        <f aca="true" t="shared" si="21" ref="W35:AB35">SUM(W33:W34)</f>
        <v>6113200.4828895</v>
      </c>
      <c r="X35" s="23">
        <f t="shared" si="21"/>
        <v>6063201.210162228</v>
      </c>
      <c r="Y35" s="23">
        <f t="shared" si="21"/>
        <v>6008201.937434886</v>
      </c>
      <c r="Z35" s="23">
        <f t="shared" si="21"/>
        <v>5947714.664707613</v>
      </c>
      <c r="AA35" s="23">
        <f t="shared" si="21"/>
        <v>5881458.39198034</v>
      </c>
      <c r="AB35" s="23">
        <f t="shared" si="21"/>
        <v>5809138.119253067</v>
      </c>
      <c r="AC35" s="23">
        <f aca="true" t="shared" si="22" ref="AC35:AS35">SUM(AC33:AC34)</f>
        <v>5730443.846525794</v>
      </c>
      <c r="AD35" s="23">
        <f t="shared" si="22"/>
        <v>5645048.573798521</v>
      </c>
      <c r="AE35" s="23">
        <f t="shared" si="22"/>
        <v>5552610.301071249</v>
      </c>
      <c r="AF35" s="23">
        <f t="shared" si="22"/>
        <v>5452768.028343976</v>
      </c>
      <c r="AG35" s="23">
        <f t="shared" si="22"/>
        <v>5345143.755616704</v>
      </c>
      <c r="AH35" s="23">
        <f t="shared" si="22"/>
        <v>5229338.482889431</v>
      </c>
      <c r="AI35" s="23">
        <f t="shared" si="22"/>
        <v>5104934.210162158</v>
      </c>
      <c r="AJ35" s="23">
        <f t="shared" si="22"/>
        <v>4971490.937434886</v>
      </c>
      <c r="AK35" s="23">
        <f t="shared" si="22"/>
        <v>4828545.664707613</v>
      </c>
      <c r="AL35" s="23">
        <f t="shared" si="22"/>
        <v>4675612.391980341</v>
      </c>
      <c r="AM35" s="23">
        <f t="shared" si="22"/>
        <v>4512180.119253068</v>
      </c>
      <c r="AN35" s="23">
        <f t="shared" si="22"/>
        <v>4337711.846525796</v>
      </c>
      <c r="AO35" s="23">
        <f t="shared" si="22"/>
        <v>4151643.5737985233</v>
      </c>
      <c r="AP35" s="23">
        <f t="shared" si="22"/>
        <v>3953381.301071251</v>
      </c>
      <c r="AQ35" s="23">
        <f t="shared" si="22"/>
        <v>3742301.0283439783</v>
      </c>
      <c r="AR35" s="23">
        <f t="shared" si="22"/>
        <v>3517746.755616706</v>
      </c>
      <c r="AS35" s="23">
        <f t="shared" si="22"/>
        <v>3279029.4828894334</v>
      </c>
      <c r="AT35" s="23"/>
      <c r="AU35" s="23"/>
    </row>
    <row r="36" spans="7:47" s="2" customFormat="1" ht="6" customHeight="1">
      <c r="G36" s="9"/>
      <c r="I36" s="9"/>
      <c r="K36" s="9"/>
      <c r="M36" s="9"/>
      <c r="O36" s="9"/>
      <c r="Q36" s="9"/>
      <c r="S36" s="9"/>
      <c r="U36" s="9"/>
      <c r="W36" s="9"/>
      <c r="X36" s="9"/>
      <c r="Y36" s="9"/>
      <c r="Z36" s="9"/>
      <c r="AA36" s="9"/>
      <c r="AB36" s="9"/>
      <c r="AC36" s="9"/>
      <c r="AD36" s="9"/>
      <c r="AE36" s="9"/>
      <c r="AF36" s="9"/>
      <c r="AG36" s="9"/>
      <c r="AH36" s="9"/>
      <c r="AI36" s="9"/>
      <c r="AJ36" s="9"/>
      <c r="AK36" s="9"/>
      <c r="AL36" s="9"/>
      <c r="AM36" s="9"/>
      <c r="AN36" s="9"/>
      <c r="AO36" s="9"/>
      <c r="AP36" s="9"/>
      <c r="AQ36" s="9"/>
      <c r="AR36" s="9"/>
      <c r="AS36" s="9"/>
      <c r="AT36" s="9"/>
      <c r="AU36" s="9"/>
    </row>
    <row r="37" spans="2:47" s="2" customFormat="1" ht="11.25">
      <c r="B37" s="45" t="s">
        <v>52</v>
      </c>
      <c r="C37" s="46"/>
      <c r="G37" s="9"/>
      <c r="I37" s="9"/>
      <c r="K37" s="9"/>
      <c r="M37" s="9"/>
      <c r="O37" s="9"/>
      <c r="Q37" s="9"/>
      <c r="S37" s="9"/>
      <c r="U37" s="9"/>
      <c r="W37" s="9"/>
      <c r="X37" s="9"/>
      <c r="Y37" s="9"/>
      <c r="Z37" s="9"/>
      <c r="AA37" s="9"/>
      <c r="AB37" s="9"/>
      <c r="AC37" s="9"/>
      <c r="AD37" s="9"/>
      <c r="AE37" s="9"/>
      <c r="AF37" s="9"/>
      <c r="AG37" s="9"/>
      <c r="AH37" s="9"/>
      <c r="AI37" s="9"/>
      <c r="AJ37" s="9"/>
      <c r="AK37" s="9"/>
      <c r="AL37" s="9"/>
      <c r="AM37" s="9"/>
      <c r="AN37" s="9"/>
      <c r="AO37" s="9"/>
      <c r="AP37" s="9"/>
      <c r="AQ37" s="9"/>
      <c r="AR37" s="9"/>
      <c r="AS37" s="9"/>
      <c r="AT37" s="9"/>
      <c r="AU37" s="9"/>
    </row>
    <row r="38" spans="2:47" s="2" customFormat="1" ht="11.25">
      <c r="B38" s="2" t="s">
        <v>21</v>
      </c>
      <c r="G38" s="62">
        <f>G18</f>
        <v>2047500</v>
      </c>
      <c r="I38" s="24">
        <f>I18</f>
        <v>2076442</v>
      </c>
      <c r="K38" s="24">
        <f>K18</f>
        <v>2148408</v>
      </c>
      <c r="M38" s="24">
        <f>M18</f>
        <v>2224056</v>
      </c>
      <c r="O38" s="24">
        <f>O18</f>
        <v>2303574</v>
      </c>
      <c r="Q38" s="24">
        <f>Q18</f>
        <v>2387161</v>
      </c>
      <c r="S38" s="24">
        <f>S18</f>
        <v>2474824</v>
      </c>
      <c r="U38" s="24">
        <f>U18</f>
        <v>2567183</v>
      </c>
      <c r="W38" s="24">
        <f aca="true" t="shared" si="23" ref="W38:AB38">W18</f>
        <v>2664267</v>
      </c>
      <c r="X38" s="62">
        <f t="shared" si="23"/>
        <v>2766539</v>
      </c>
      <c r="Y38" s="41">
        <f t="shared" si="23"/>
        <v>2873811</v>
      </c>
      <c r="Z38" s="41">
        <f t="shared" si="23"/>
        <v>2986571</v>
      </c>
      <c r="AA38" s="41">
        <f t="shared" si="23"/>
        <v>3105100</v>
      </c>
      <c r="AB38" s="41">
        <f t="shared" si="23"/>
        <v>3229693</v>
      </c>
      <c r="AC38" s="41">
        <f aca="true" t="shared" si="24" ref="AC38:AS38">AC18</f>
        <v>3360660</v>
      </c>
      <c r="AD38" s="41">
        <f t="shared" si="24"/>
        <v>3498328</v>
      </c>
      <c r="AE38" s="41">
        <f t="shared" si="24"/>
        <v>3643039</v>
      </c>
      <c r="AF38" s="41">
        <f t="shared" si="24"/>
        <v>3795154</v>
      </c>
      <c r="AG38" s="41">
        <f t="shared" si="24"/>
        <v>3955051</v>
      </c>
      <c r="AH38" s="62">
        <f>AH18</f>
        <v>4123129</v>
      </c>
      <c r="AI38" s="41">
        <f t="shared" si="24"/>
        <v>4299806</v>
      </c>
      <c r="AJ38" s="41">
        <f t="shared" si="24"/>
        <v>4485522</v>
      </c>
      <c r="AK38" s="41">
        <f t="shared" si="24"/>
        <v>4680740</v>
      </c>
      <c r="AL38" s="41">
        <f t="shared" si="24"/>
        <v>4885946</v>
      </c>
      <c r="AM38" s="41">
        <f t="shared" si="24"/>
        <v>5101651</v>
      </c>
      <c r="AN38" s="41">
        <f t="shared" si="24"/>
        <v>5328392</v>
      </c>
      <c r="AO38" s="41">
        <f t="shared" si="24"/>
        <v>5566733</v>
      </c>
      <c r="AP38" s="41">
        <f t="shared" si="24"/>
        <v>5817268</v>
      </c>
      <c r="AQ38" s="41">
        <f t="shared" si="24"/>
        <v>6080621</v>
      </c>
      <c r="AR38" s="41">
        <f t="shared" si="24"/>
        <v>6357448</v>
      </c>
      <c r="AS38" s="62">
        <f t="shared" si="24"/>
        <v>6648438</v>
      </c>
      <c r="AT38" s="41"/>
      <c r="AU38" s="44">
        <f>AS38</f>
        <v>6648438</v>
      </c>
    </row>
    <row r="39" spans="3:47" s="2" customFormat="1" ht="11.25">
      <c r="C39" s="2" t="s">
        <v>22</v>
      </c>
      <c r="G39" s="56">
        <v>28942</v>
      </c>
      <c r="H39" s="57"/>
      <c r="I39" s="56">
        <v>71966</v>
      </c>
      <c r="J39" s="57"/>
      <c r="K39" s="56">
        <v>75648</v>
      </c>
      <c r="L39" s="57"/>
      <c r="M39" s="56">
        <v>79518</v>
      </c>
      <c r="N39" s="57"/>
      <c r="O39" s="56">
        <v>83587</v>
      </c>
      <c r="P39" s="57"/>
      <c r="Q39" s="56">
        <v>87663</v>
      </c>
      <c r="R39" s="57"/>
      <c r="S39" s="56">
        <v>92359</v>
      </c>
      <c r="T39" s="57"/>
      <c r="U39" s="56">
        <v>97084</v>
      </c>
      <c r="V39" s="57"/>
      <c r="W39" s="56">
        <v>102272</v>
      </c>
      <c r="X39" s="56">
        <v>107272</v>
      </c>
      <c r="Y39" s="56">
        <v>112760</v>
      </c>
      <c r="Z39" s="56">
        <v>118529</v>
      </c>
      <c r="AA39" s="56">
        <v>124593</v>
      </c>
      <c r="AB39" s="56">
        <v>130967</v>
      </c>
      <c r="AC39" s="56">
        <v>137668</v>
      </c>
      <c r="AD39" s="56">
        <v>144711</v>
      </c>
      <c r="AE39" s="56">
        <v>152115</v>
      </c>
      <c r="AF39" s="56">
        <v>159897</v>
      </c>
      <c r="AG39" s="56">
        <v>168078</v>
      </c>
      <c r="AH39" s="56">
        <v>176677</v>
      </c>
      <c r="AI39" s="56">
        <v>185716</v>
      </c>
      <c r="AJ39" s="56">
        <v>195218</v>
      </c>
      <c r="AK39" s="56">
        <v>205206</v>
      </c>
      <c r="AL39" s="56">
        <v>215705</v>
      </c>
      <c r="AM39" s="56">
        <v>226741</v>
      </c>
      <c r="AN39" s="56">
        <v>238341</v>
      </c>
      <c r="AO39" s="56">
        <v>250535</v>
      </c>
      <c r="AP39" s="56">
        <v>263353</v>
      </c>
      <c r="AQ39" s="56">
        <v>276827</v>
      </c>
      <c r="AR39" s="56">
        <v>290990</v>
      </c>
      <c r="AS39" s="56">
        <v>176571</v>
      </c>
      <c r="AT39" s="20"/>
      <c r="AU39" s="20"/>
    </row>
    <row r="40" spans="2:47" s="2" customFormat="1" ht="11.25">
      <c r="B40" s="2" t="s">
        <v>4</v>
      </c>
      <c r="G40" s="9"/>
      <c r="I40" s="9"/>
      <c r="K40" s="9"/>
      <c r="M40" s="9"/>
      <c r="O40" s="9"/>
      <c r="Q40" s="9"/>
      <c r="S40" s="9"/>
      <c r="U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2:47" s="2" customFormat="1" ht="11.25">
      <c r="B41" s="7" t="s">
        <v>9</v>
      </c>
      <c r="F41" s="22"/>
      <c r="G41" s="20">
        <f>G12</f>
        <v>452500</v>
      </c>
      <c r="I41" s="20">
        <f>I12</f>
        <v>429583.3333333333</v>
      </c>
      <c r="K41" s="20">
        <f>K12</f>
        <v>404583.3333333333</v>
      </c>
      <c r="M41" s="20">
        <f>M12</f>
        <v>379583.3333333333</v>
      </c>
      <c r="O41" s="20">
        <f>O12</f>
        <v>354583.3333333333</v>
      </c>
      <c r="Q41" s="20">
        <f>Q12</f>
        <v>329583.3333333333</v>
      </c>
      <c r="S41" s="20">
        <f>S12</f>
        <v>304583.3333333333</v>
      </c>
      <c r="U41" s="20">
        <f>U12</f>
        <v>279583.3333333333</v>
      </c>
      <c r="W41" s="20">
        <f aca="true" t="shared" si="25" ref="W41:AB41">W12</f>
        <v>254583.3333333333</v>
      </c>
      <c r="X41" s="20">
        <f t="shared" si="25"/>
        <v>229583.3333333333</v>
      </c>
      <c r="Y41" s="20">
        <f t="shared" si="25"/>
        <v>204583.3333333333</v>
      </c>
      <c r="Z41" s="20">
        <f t="shared" si="25"/>
        <v>179583.3333333333</v>
      </c>
      <c r="AA41" s="20">
        <f t="shared" si="25"/>
        <v>154583.3333333333</v>
      </c>
      <c r="AB41" s="20">
        <f t="shared" si="25"/>
        <v>129583.33333333331</v>
      </c>
      <c r="AC41" s="20">
        <f aca="true" t="shared" si="26" ref="AC41:AS41">AC12</f>
        <v>104583.33333333331</v>
      </c>
      <c r="AD41" s="20">
        <f t="shared" si="26"/>
        <v>79583.33333333331</v>
      </c>
      <c r="AE41" s="20">
        <f t="shared" si="26"/>
        <v>54583.333333333314</v>
      </c>
      <c r="AF41" s="20">
        <f t="shared" si="26"/>
        <v>29583.333333333314</v>
      </c>
      <c r="AG41" s="20">
        <f t="shared" si="26"/>
        <v>4583.333333333314</v>
      </c>
      <c r="AH41" s="20">
        <f t="shared" si="26"/>
        <v>287343.1333333333</v>
      </c>
      <c r="AI41" s="20">
        <f t="shared" si="26"/>
        <v>262343.1333333333</v>
      </c>
      <c r="AJ41" s="20">
        <f t="shared" si="26"/>
        <v>237343.1333333333</v>
      </c>
      <c r="AK41" s="20">
        <f t="shared" si="26"/>
        <v>212343.1333333333</v>
      </c>
      <c r="AL41" s="20">
        <f t="shared" si="26"/>
        <v>187343.1333333333</v>
      </c>
      <c r="AM41" s="20">
        <f t="shared" si="26"/>
        <v>162343.1333333333</v>
      </c>
      <c r="AN41" s="20">
        <f t="shared" si="26"/>
        <v>137343.1333333333</v>
      </c>
      <c r="AO41" s="20">
        <f t="shared" si="26"/>
        <v>112343.1333333333</v>
      </c>
      <c r="AP41" s="20">
        <f t="shared" si="26"/>
        <v>87343.1333333333</v>
      </c>
      <c r="AQ41" s="20">
        <f t="shared" si="26"/>
        <v>62343.1333333333</v>
      </c>
      <c r="AR41" s="20">
        <f t="shared" si="26"/>
        <v>37343.1333333333</v>
      </c>
      <c r="AS41" s="20">
        <f t="shared" si="26"/>
        <v>12343.133333333302</v>
      </c>
      <c r="AT41" s="20"/>
      <c r="AU41" s="20"/>
    </row>
    <row r="42" spans="2:47" s="2" customFormat="1" ht="11.25">
      <c r="B42" s="7" t="s">
        <v>55</v>
      </c>
      <c r="F42" s="22"/>
      <c r="G42" s="9">
        <f>G26*2</f>
        <v>512934</v>
      </c>
      <c r="I42" s="9">
        <f>I26*2</f>
        <v>615519.6</v>
      </c>
      <c r="K42" s="9">
        <f>K26*2</f>
        <v>615519.6</v>
      </c>
      <c r="M42" s="9">
        <f>M26*2</f>
        <v>615519.6</v>
      </c>
      <c r="O42" s="9">
        <f>O26*2</f>
        <v>615519.6</v>
      </c>
      <c r="Q42" s="9">
        <f>Q26*2</f>
        <v>615519.6</v>
      </c>
      <c r="S42" s="9">
        <f>S26*2</f>
        <v>615519.6</v>
      </c>
      <c r="U42" s="9">
        <f>U26*2</f>
        <v>615519.6</v>
      </c>
      <c r="W42" s="9">
        <f aca="true" t="shared" si="27" ref="W42:AB42">W26*2</f>
        <v>615519.6</v>
      </c>
      <c r="X42" s="9">
        <f t="shared" si="27"/>
        <v>615519.6</v>
      </c>
      <c r="Y42" s="9">
        <f t="shared" si="27"/>
        <v>615519.6</v>
      </c>
      <c r="Z42" s="9">
        <f t="shared" si="27"/>
        <v>615519.6</v>
      </c>
      <c r="AA42" s="9">
        <f t="shared" si="27"/>
        <v>615519.6</v>
      </c>
      <c r="AB42" s="9">
        <f t="shared" si="27"/>
        <v>615519.6</v>
      </c>
      <c r="AC42" s="9">
        <f aca="true" t="shared" si="28" ref="AC42:AS42">AC26*2</f>
        <v>615519.6</v>
      </c>
      <c r="AD42" s="9">
        <f t="shared" si="28"/>
        <v>615519.6</v>
      </c>
      <c r="AE42" s="9">
        <f t="shared" si="28"/>
        <v>615519.6</v>
      </c>
      <c r="AF42" s="9">
        <f t="shared" si="28"/>
        <v>615519.6</v>
      </c>
      <c r="AG42" s="9">
        <f t="shared" si="28"/>
        <v>615519.6</v>
      </c>
      <c r="AH42" s="9">
        <f>AH26</f>
        <v>307759.8</v>
      </c>
      <c r="AI42" s="9">
        <f t="shared" si="28"/>
        <v>615519.6</v>
      </c>
      <c r="AJ42" s="9">
        <f t="shared" si="28"/>
        <v>615519.6</v>
      </c>
      <c r="AK42" s="9">
        <f t="shared" si="28"/>
        <v>615519.6</v>
      </c>
      <c r="AL42" s="9">
        <f t="shared" si="28"/>
        <v>615519.6</v>
      </c>
      <c r="AM42" s="9">
        <f t="shared" si="28"/>
        <v>615519.6</v>
      </c>
      <c r="AN42" s="9">
        <f t="shared" si="28"/>
        <v>615519.6</v>
      </c>
      <c r="AO42" s="9">
        <f t="shared" si="28"/>
        <v>615519.6</v>
      </c>
      <c r="AP42" s="9">
        <f t="shared" si="28"/>
        <v>615519.6</v>
      </c>
      <c r="AQ42" s="9">
        <f t="shared" si="28"/>
        <v>615519.6</v>
      </c>
      <c r="AR42" s="9">
        <f t="shared" si="28"/>
        <v>615519.6</v>
      </c>
      <c r="AS42" s="9">
        <f t="shared" si="28"/>
        <v>615519.6</v>
      </c>
      <c r="AT42" s="9"/>
      <c r="AU42" s="9"/>
    </row>
    <row r="43" spans="2:47" s="2" customFormat="1" ht="11.25">
      <c r="B43" s="7"/>
      <c r="C43" s="2" t="s">
        <v>34</v>
      </c>
      <c r="F43" s="22"/>
      <c r="G43" s="58">
        <f>G13</f>
        <v>288621.3742512955</v>
      </c>
      <c r="H43" s="59"/>
      <c r="I43" s="58">
        <f>I13</f>
        <v>314859.68100141326</v>
      </c>
      <c r="J43" s="58"/>
      <c r="K43" s="58">
        <f aca="true" t="shared" si="29" ref="K43:AS43">K13</f>
        <v>314859.68100141326</v>
      </c>
      <c r="L43" s="58">
        <f t="shared" si="29"/>
        <v>0</v>
      </c>
      <c r="M43" s="58">
        <f t="shared" si="29"/>
        <v>314859.68100141326</v>
      </c>
      <c r="N43" s="58">
        <f t="shared" si="29"/>
        <v>0</v>
      </c>
      <c r="O43" s="58">
        <f t="shared" si="29"/>
        <v>314859.68100141326</v>
      </c>
      <c r="P43" s="58">
        <f t="shared" si="29"/>
        <v>0</v>
      </c>
      <c r="Q43" s="58">
        <f t="shared" si="29"/>
        <v>314859.68100141326</v>
      </c>
      <c r="R43" s="58">
        <f t="shared" si="29"/>
        <v>0</v>
      </c>
      <c r="S43" s="58">
        <f t="shared" si="29"/>
        <v>314859.68100141326</v>
      </c>
      <c r="T43" s="58">
        <f t="shared" si="29"/>
        <v>0</v>
      </c>
      <c r="U43" s="58">
        <f t="shared" si="29"/>
        <v>314859.68100141326</v>
      </c>
      <c r="V43" s="58">
        <f t="shared" si="29"/>
        <v>0</v>
      </c>
      <c r="W43" s="58">
        <f t="shared" si="29"/>
        <v>314859.68100141326</v>
      </c>
      <c r="X43" s="58">
        <f t="shared" si="29"/>
        <v>314859.68100141326</v>
      </c>
      <c r="Y43" s="58">
        <f t="shared" si="29"/>
        <v>314859.68100141326</v>
      </c>
      <c r="Z43" s="58">
        <f t="shared" si="29"/>
        <v>314859.68100141326</v>
      </c>
      <c r="AA43" s="58">
        <f t="shared" si="29"/>
        <v>314859.68100141326</v>
      </c>
      <c r="AB43" s="58">
        <f t="shared" si="29"/>
        <v>314859.68100141326</v>
      </c>
      <c r="AC43" s="58">
        <f t="shared" si="29"/>
        <v>314859.68100141326</v>
      </c>
      <c r="AD43" s="58">
        <f t="shared" si="29"/>
        <v>314859.68100141326</v>
      </c>
      <c r="AE43" s="58">
        <f t="shared" si="29"/>
        <v>314859.68100141326</v>
      </c>
      <c r="AF43" s="58">
        <f t="shared" si="29"/>
        <v>314859.68100141326</v>
      </c>
      <c r="AG43" s="58">
        <f t="shared" si="29"/>
        <v>314859.68100141326</v>
      </c>
      <c r="AH43" s="58">
        <f t="shared" si="29"/>
        <v>314859.68100141326</v>
      </c>
      <c r="AI43" s="58">
        <f t="shared" si="29"/>
        <v>314859.68100141326</v>
      </c>
      <c r="AJ43" s="58">
        <f t="shared" si="29"/>
        <v>314859.68100141326</v>
      </c>
      <c r="AK43" s="58">
        <f t="shared" si="29"/>
        <v>314859.68100141326</v>
      </c>
      <c r="AL43" s="58">
        <f t="shared" si="29"/>
        <v>314859.68100141326</v>
      </c>
      <c r="AM43" s="58">
        <f t="shared" si="29"/>
        <v>314859.68100141326</v>
      </c>
      <c r="AN43" s="58">
        <f t="shared" si="29"/>
        <v>314859.68100141326</v>
      </c>
      <c r="AO43" s="58">
        <f t="shared" si="29"/>
        <v>314859.68100141326</v>
      </c>
      <c r="AP43" s="58">
        <f t="shared" si="29"/>
        <v>314859.68100141326</v>
      </c>
      <c r="AQ43" s="58">
        <f t="shared" si="29"/>
        <v>314859.68100141326</v>
      </c>
      <c r="AR43" s="58">
        <f t="shared" si="29"/>
        <v>314859.68100141326</v>
      </c>
      <c r="AS43" s="58">
        <f t="shared" si="29"/>
        <v>314859.68100141326</v>
      </c>
      <c r="AT43" s="9"/>
      <c r="AU43" s="54">
        <f>SUM(G43:AS43)</f>
        <v>9734411.804293698</v>
      </c>
    </row>
    <row r="44" spans="2:47" s="2" customFormat="1" ht="11.25">
      <c r="B44" s="2" t="s">
        <v>62</v>
      </c>
      <c r="F44" s="9"/>
      <c r="G44" s="29">
        <f>G21</f>
        <v>68250</v>
      </c>
      <c r="H44" s="9">
        <f>(F87+F44)*0.01</f>
        <v>0</v>
      </c>
      <c r="I44" s="29">
        <f>I21</f>
        <v>68932.5</v>
      </c>
      <c r="J44" s="9"/>
      <c r="K44" s="9">
        <f>K21</f>
        <v>68939.325</v>
      </c>
      <c r="L44" s="9">
        <f>(6825000+J44)*0.01</f>
        <v>68250</v>
      </c>
      <c r="M44" s="9">
        <f aca="true" t="shared" si="30" ref="M44:AS44">M21</f>
        <v>68939.39325000001</v>
      </c>
      <c r="N44" s="9">
        <f t="shared" si="30"/>
        <v>68250</v>
      </c>
      <c r="O44" s="9">
        <f t="shared" si="30"/>
        <v>68939.3939325</v>
      </c>
      <c r="P44" s="9">
        <f t="shared" si="30"/>
        <v>68932.5</v>
      </c>
      <c r="Q44" s="9">
        <f t="shared" si="30"/>
        <v>68939.393939325</v>
      </c>
      <c r="R44" s="9">
        <f t="shared" si="30"/>
        <v>68939.325</v>
      </c>
      <c r="S44" s="9">
        <f t="shared" si="30"/>
        <v>68939.39393939325</v>
      </c>
      <c r="T44" s="9">
        <f t="shared" si="30"/>
        <v>68939.39325000001</v>
      </c>
      <c r="U44" s="9">
        <f t="shared" si="30"/>
        <v>68939.39393939394</v>
      </c>
      <c r="V44" s="9">
        <f t="shared" si="30"/>
        <v>68939.3939325</v>
      </c>
      <c r="W44" s="9">
        <f t="shared" si="30"/>
        <v>68939.39393939394</v>
      </c>
      <c r="X44" s="9">
        <f t="shared" si="30"/>
        <v>68939.393939325</v>
      </c>
      <c r="Y44" s="9">
        <f t="shared" si="30"/>
        <v>68939.39393939394</v>
      </c>
      <c r="Z44" s="9">
        <f t="shared" si="30"/>
        <v>68939.39393939325</v>
      </c>
      <c r="AA44" s="9">
        <f t="shared" si="30"/>
        <v>68939.39393939394</v>
      </c>
      <c r="AB44" s="9">
        <f t="shared" si="30"/>
        <v>68939.39393939394</v>
      </c>
      <c r="AC44" s="9">
        <f t="shared" si="30"/>
        <v>68939.39393939394</v>
      </c>
      <c r="AD44" s="9">
        <f t="shared" si="30"/>
        <v>68939.39393939394</v>
      </c>
      <c r="AE44" s="9">
        <f t="shared" si="30"/>
        <v>68939.39393939394</v>
      </c>
      <c r="AF44" s="9">
        <f t="shared" si="30"/>
        <v>68939.39393939394</v>
      </c>
      <c r="AG44" s="9">
        <f t="shared" si="30"/>
        <v>68939.39393939394</v>
      </c>
      <c r="AH44" s="9">
        <f t="shared" si="30"/>
        <v>68939.39393939394</v>
      </c>
      <c r="AI44" s="9">
        <f t="shared" si="30"/>
        <v>68939.39393939394</v>
      </c>
      <c r="AJ44" s="9">
        <f t="shared" si="30"/>
        <v>68939.39393939394</v>
      </c>
      <c r="AK44" s="9">
        <f t="shared" si="30"/>
        <v>68939.39393939394</v>
      </c>
      <c r="AL44" s="9">
        <f t="shared" si="30"/>
        <v>68939.39393939394</v>
      </c>
      <c r="AM44" s="9">
        <f t="shared" si="30"/>
        <v>68939.39393939394</v>
      </c>
      <c r="AN44" s="9">
        <f t="shared" si="30"/>
        <v>68939.39393939394</v>
      </c>
      <c r="AO44" s="9">
        <f t="shared" si="30"/>
        <v>68939.39393939394</v>
      </c>
      <c r="AP44" s="9">
        <f t="shared" si="30"/>
        <v>68939.39393939394</v>
      </c>
      <c r="AQ44" s="9">
        <f t="shared" si="30"/>
        <v>68939.39393939394</v>
      </c>
      <c r="AR44" s="9">
        <f t="shared" si="30"/>
        <v>68939.39393939394</v>
      </c>
      <c r="AS44" s="9">
        <f t="shared" si="30"/>
        <v>68939.39393939394</v>
      </c>
      <c r="AT44" s="21"/>
      <c r="AU44" s="21"/>
    </row>
    <row r="45" spans="2:47" s="2" customFormat="1" ht="11.25">
      <c r="B45" s="7" t="s">
        <v>13</v>
      </c>
      <c r="C45" s="2" t="s">
        <v>43</v>
      </c>
      <c r="F45" s="22"/>
      <c r="G45" s="60">
        <f>-G26-G31-G32</f>
        <v>-245498</v>
      </c>
      <c r="H45" s="59"/>
      <c r="I45" s="60">
        <f>-I26</f>
        <v>-307759.8</v>
      </c>
      <c r="J45" s="59"/>
      <c r="K45" s="60">
        <f>-K26</f>
        <v>-307759.8</v>
      </c>
      <c r="L45" s="59"/>
      <c r="M45" s="60">
        <f>-M26</f>
        <v>-307759.8</v>
      </c>
      <c r="N45" s="59"/>
      <c r="O45" s="60">
        <f>-O26</f>
        <v>-307759.8</v>
      </c>
      <c r="P45" s="59"/>
      <c r="Q45" s="60">
        <f>-Q26</f>
        <v>-307759.8</v>
      </c>
      <c r="R45" s="59"/>
      <c r="S45" s="60">
        <f>-S26</f>
        <v>-307759.8</v>
      </c>
      <c r="T45" s="59"/>
      <c r="U45" s="60">
        <f>-U26</f>
        <v>-307759.8</v>
      </c>
      <c r="V45" s="59"/>
      <c r="W45" s="60">
        <f aca="true" t="shared" si="31" ref="W45:AB45">-W26</f>
        <v>-307759.8</v>
      </c>
      <c r="X45" s="60">
        <f t="shared" si="31"/>
        <v>-307759.8</v>
      </c>
      <c r="Y45" s="60">
        <f t="shared" si="31"/>
        <v>-307759.8</v>
      </c>
      <c r="Z45" s="60">
        <f t="shared" si="31"/>
        <v>-307759.8</v>
      </c>
      <c r="AA45" s="60">
        <f t="shared" si="31"/>
        <v>-307759.8</v>
      </c>
      <c r="AB45" s="60">
        <f t="shared" si="31"/>
        <v>-307759.8</v>
      </c>
      <c r="AC45" s="60">
        <f aca="true" t="shared" si="32" ref="AC45:AS45">-AC26</f>
        <v>-307759.8</v>
      </c>
      <c r="AD45" s="60">
        <f t="shared" si="32"/>
        <v>-307759.8</v>
      </c>
      <c r="AE45" s="60">
        <f t="shared" si="32"/>
        <v>-307759.8</v>
      </c>
      <c r="AF45" s="60">
        <f t="shared" si="32"/>
        <v>-307759.8</v>
      </c>
      <c r="AG45" s="60">
        <f t="shared" si="32"/>
        <v>-307759.8</v>
      </c>
      <c r="AH45" s="61">
        <v>0</v>
      </c>
      <c r="AI45" s="60">
        <f t="shared" si="32"/>
        <v>-307759.8</v>
      </c>
      <c r="AJ45" s="60">
        <f t="shared" si="32"/>
        <v>-307759.8</v>
      </c>
      <c r="AK45" s="60">
        <f t="shared" si="32"/>
        <v>-307759.8</v>
      </c>
      <c r="AL45" s="60">
        <f t="shared" si="32"/>
        <v>-307759.8</v>
      </c>
      <c r="AM45" s="60">
        <f t="shared" si="32"/>
        <v>-307759.8</v>
      </c>
      <c r="AN45" s="60">
        <f t="shared" si="32"/>
        <v>-307759.8</v>
      </c>
      <c r="AO45" s="60">
        <f t="shared" si="32"/>
        <v>-307759.8</v>
      </c>
      <c r="AP45" s="60">
        <f t="shared" si="32"/>
        <v>-307759.8</v>
      </c>
      <c r="AQ45" s="60">
        <f t="shared" si="32"/>
        <v>-307759.8</v>
      </c>
      <c r="AR45" s="60">
        <f t="shared" si="32"/>
        <v>-307759.8</v>
      </c>
      <c r="AS45" s="60">
        <f t="shared" si="32"/>
        <v>-307759.8</v>
      </c>
      <c r="AT45" s="21"/>
      <c r="AU45" s="42">
        <f>-SUM(AR46+AS45)</f>
        <v>9170532.2</v>
      </c>
    </row>
    <row r="46" spans="1:47" s="2" customFormat="1" ht="11.25">
      <c r="A46" s="2" t="s">
        <v>27</v>
      </c>
      <c r="B46" s="7"/>
      <c r="C46" s="2" t="s">
        <v>48</v>
      </c>
      <c r="F46" s="22"/>
      <c r="G46" s="21"/>
      <c r="I46" s="21"/>
      <c r="K46" s="21"/>
      <c r="M46" s="21"/>
      <c r="O46" s="42">
        <f>SUM(G45:O45)</f>
        <v>-1476537.2000000002</v>
      </c>
      <c r="Q46" s="21"/>
      <c r="S46" s="21"/>
      <c r="U46" s="21"/>
      <c r="W46" s="21"/>
      <c r="X46" s="42">
        <f>SUM(G45:X45)</f>
        <v>-3015336.1999999997</v>
      </c>
      <c r="Y46" s="21"/>
      <c r="Z46" s="21"/>
      <c r="AA46" s="21"/>
      <c r="AB46" s="21"/>
      <c r="AC46" s="42">
        <f>SUM(Y45:AC45)+X46</f>
        <v>-4554135.199999999</v>
      </c>
      <c r="AD46" s="21"/>
      <c r="AE46" s="21"/>
      <c r="AF46" s="21"/>
      <c r="AG46" s="21"/>
      <c r="AH46" s="42">
        <f>SUM(AD45:AH45)+AC46</f>
        <v>-5785174.399999999</v>
      </c>
      <c r="AI46" s="21"/>
      <c r="AJ46" s="21"/>
      <c r="AK46" s="21"/>
      <c r="AL46" s="21"/>
      <c r="AM46" s="42">
        <f>SUM(AI45:AM45)+AH46</f>
        <v>-7323973.399999999</v>
      </c>
      <c r="AN46" s="21"/>
      <c r="AO46" s="21"/>
      <c r="AP46" s="21"/>
      <c r="AQ46" s="21"/>
      <c r="AR46" s="42">
        <f>SUM(AN45:AR45)+AM46</f>
        <v>-8862772.399999999</v>
      </c>
      <c r="AS46" s="21"/>
      <c r="AT46" s="24"/>
      <c r="AU46" s="24"/>
    </row>
    <row r="47" spans="2:47" s="2" customFormat="1" ht="11.25">
      <c r="B47" s="7" t="s">
        <v>10</v>
      </c>
      <c r="F47" s="22"/>
      <c r="G47" s="24">
        <f>SUM(G41:G45)</f>
        <v>1076807.3742512956</v>
      </c>
      <c r="I47" s="24">
        <f>SUM(I41:I45)</f>
        <v>1121135.3143347467</v>
      </c>
      <c r="K47" s="24">
        <f>SUM(K41:K45)</f>
        <v>1096142.1393347466</v>
      </c>
      <c r="M47" s="24">
        <f>SUM(M41:M45)</f>
        <v>1071142.2075847466</v>
      </c>
      <c r="O47" s="24">
        <f>SUM(O41:O45)</f>
        <v>1046142.2082672466</v>
      </c>
      <c r="Q47" s="24">
        <f>SUM(Q41:Q45)</f>
        <v>1021142.2082740718</v>
      </c>
      <c r="S47" s="24">
        <f>SUM(S41:S45)</f>
        <v>996142.20827414</v>
      </c>
      <c r="U47" s="24">
        <f>SUM(U41:U45)</f>
        <v>971142.2082741407</v>
      </c>
      <c r="W47" s="24">
        <f aca="true" t="shared" si="33" ref="W47:AS47">SUM(W41:W45)</f>
        <v>946142.2082741407</v>
      </c>
      <c r="X47" s="24">
        <f t="shared" si="33"/>
        <v>921142.2082740718</v>
      </c>
      <c r="Y47" s="24">
        <f t="shared" si="33"/>
        <v>896142.2082741407</v>
      </c>
      <c r="Z47" s="24">
        <f t="shared" si="33"/>
        <v>871142.20827414</v>
      </c>
      <c r="AA47" s="24">
        <f t="shared" si="33"/>
        <v>846142.2082741407</v>
      </c>
      <c r="AB47" s="24">
        <f t="shared" si="33"/>
        <v>821142.2082741407</v>
      </c>
      <c r="AC47" s="24">
        <f t="shared" si="33"/>
        <v>796142.2082741405</v>
      </c>
      <c r="AD47" s="24">
        <f t="shared" si="33"/>
        <v>771142.2082741405</v>
      </c>
      <c r="AE47" s="24">
        <f t="shared" si="33"/>
        <v>746142.2082741405</v>
      </c>
      <c r="AF47" s="24">
        <f t="shared" si="33"/>
        <v>721142.2082741405</v>
      </c>
      <c r="AG47" s="24">
        <f t="shared" si="33"/>
        <v>696142.2082741405</v>
      </c>
      <c r="AH47" s="24">
        <f t="shared" si="33"/>
        <v>978902.0082741405</v>
      </c>
      <c r="AI47" s="24">
        <f t="shared" si="33"/>
        <v>953902.0082741405</v>
      </c>
      <c r="AJ47" s="24">
        <f t="shared" si="33"/>
        <v>928902.0082741405</v>
      </c>
      <c r="AK47" s="24">
        <f t="shared" si="33"/>
        <v>903902.0082741405</v>
      </c>
      <c r="AL47" s="24">
        <f t="shared" si="33"/>
        <v>878902.0082741405</v>
      </c>
      <c r="AM47" s="24">
        <f t="shared" si="33"/>
        <v>853902.0082741405</v>
      </c>
      <c r="AN47" s="24">
        <f t="shared" si="33"/>
        <v>828902.0082741405</v>
      </c>
      <c r="AO47" s="24">
        <f t="shared" si="33"/>
        <v>803902.0082741405</v>
      </c>
      <c r="AP47" s="24">
        <f t="shared" si="33"/>
        <v>778902.0082741405</v>
      </c>
      <c r="AQ47" s="24">
        <f t="shared" si="33"/>
        <v>753902.0082741405</v>
      </c>
      <c r="AR47" s="24">
        <f t="shared" si="33"/>
        <v>728902.0082741405</v>
      </c>
      <c r="AS47" s="24">
        <f t="shared" si="33"/>
        <v>703902.0082741405</v>
      </c>
      <c r="AT47" s="24"/>
      <c r="AU47" s="24"/>
    </row>
    <row r="48" spans="2:47" s="2" customFormat="1" ht="12" thickBot="1">
      <c r="B48" s="2" t="s">
        <v>12</v>
      </c>
      <c r="G48" s="24">
        <f>+G38+G47</f>
        <v>3124307.374251296</v>
      </c>
      <c r="I48" s="24">
        <f>+I38+I47</f>
        <v>3197577.3143347465</v>
      </c>
      <c r="K48" s="24">
        <f>+K38+K47</f>
        <v>3244550.1393347466</v>
      </c>
      <c r="M48" s="24">
        <f>+M38+M47</f>
        <v>3295198.2075847466</v>
      </c>
      <c r="O48" s="24">
        <f>+O38+O47</f>
        <v>3349716.2082672464</v>
      </c>
      <c r="Q48" s="24">
        <f>+Q38+Q47</f>
        <v>3408303.208274072</v>
      </c>
      <c r="S48" s="24">
        <f>+S38+S47</f>
        <v>3470966.20827414</v>
      </c>
      <c r="U48" s="24">
        <f>+U38+U47</f>
        <v>3538325.208274141</v>
      </c>
      <c r="W48" s="24">
        <f aca="true" t="shared" si="34" ref="W48:AS48">+W38+W47</f>
        <v>3610409.208274141</v>
      </c>
      <c r="X48" s="24">
        <f t="shared" si="34"/>
        <v>3687681.208274072</v>
      </c>
      <c r="Y48" s="24">
        <f t="shared" si="34"/>
        <v>3769953.208274141</v>
      </c>
      <c r="Z48" s="24">
        <f t="shared" si="34"/>
        <v>3857713.20827414</v>
      </c>
      <c r="AA48" s="24">
        <f t="shared" si="34"/>
        <v>3951242.208274141</v>
      </c>
      <c r="AB48" s="24">
        <f t="shared" si="34"/>
        <v>4050835.208274141</v>
      </c>
      <c r="AC48" s="24">
        <f t="shared" si="34"/>
        <v>4156802.2082741405</v>
      </c>
      <c r="AD48" s="24">
        <f t="shared" si="34"/>
        <v>4269470.208274141</v>
      </c>
      <c r="AE48" s="24">
        <f t="shared" si="34"/>
        <v>4389181.208274141</v>
      </c>
      <c r="AF48" s="24">
        <f t="shared" si="34"/>
        <v>4516296.208274141</v>
      </c>
      <c r="AG48" s="24">
        <f t="shared" si="34"/>
        <v>4651193.208274141</v>
      </c>
      <c r="AH48" s="24">
        <f t="shared" si="34"/>
        <v>5102031.008274141</v>
      </c>
      <c r="AI48" s="24">
        <f t="shared" si="34"/>
        <v>5253708.008274141</v>
      </c>
      <c r="AJ48" s="24">
        <f t="shared" si="34"/>
        <v>5414424.008274141</v>
      </c>
      <c r="AK48" s="24">
        <f t="shared" si="34"/>
        <v>5584642.008274141</v>
      </c>
      <c r="AL48" s="24">
        <f t="shared" si="34"/>
        <v>5764848.008274141</v>
      </c>
      <c r="AM48" s="24">
        <f t="shared" si="34"/>
        <v>5955553.008274141</v>
      </c>
      <c r="AN48" s="24">
        <f t="shared" si="34"/>
        <v>6157294.008274141</v>
      </c>
      <c r="AO48" s="24">
        <f t="shared" si="34"/>
        <v>6370635.008274141</v>
      </c>
      <c r="AP48" s="24">
        <f t="shared" si="34"/>
        <v>6596170.008274141</v>
      </c>
      <c r="AQ48" s="24">
        <f t="shared" si="34"/>
        <v>6834523.008274141</v>
      </c>
      <c r="AR48" s="24">
        <f t="shared" si="34"/>
        <v>7086350.008274141</v>
      </c>
      <c r="AS48" s="24">
        <f t="shared" si="34"/>
        <v>7352340.008274141</v>
      </c>
      <c r="AT48" s="38"/>
      <c r="AU48" s="38"/>
    </row>
    <row r="49" spans="2:47" s="2" customFormat="1" ht="15" customHeight="1" thickBot="1" thickTop="1">
      <c r="B49" s="2" t="s">
        <v>11</v>
      </c>
      <c r="G49" s="38">
        <f>+G35+G48</f>
        <v>9354319.263140185</v>
      </c>
      <c r="H49" s="25"/>
      <c r="I49" s="38">
        <f>+I35+I48</f>
        <v>9532700.669890303</v>
      </c>
      <c r="J49" s="25"/>
      <c r="K49" s="38">
        <f>+K35+K48</f>
        <v>9559973.328223635</v>
      </c>
      <c r="M49" s="38">
        <f>+M35+M48</f>
        <v>9587246.054806968</v>
      </c>
      <c r="O49" s="38">
        <f>+O35+O48</f>
        <v>9614518.782072801</v>
      </c>
      <c r="Q49" s="38">
        <f>+Q35+Q48</f>
        <v>9641791.50934546</v>
      </c>
      <c r="S49" s="38">
        <f>+S35+S48</f>
        <v>9669064.236618187</v>
      </c>
      <c r="U49" s="38">
        <f>+U35+U48</f>
        <v>9696336.963890914</v>
      </c>
      <c r="W49" s="38">
        <f aca="true" t="shared" si="35" ref="W49:AS49">+W35+W48</f>
        <v>9723609.69116364</v>
      </c>
      <c r="X49" s="38">
        <f t="shared" si="35"/>
        <v>9750882.4184363</v>
      </c>
      <c r="Y49" s="38">
        <f t="shared" si="35"/>
        <v>9778155.145709027</v>
      </c>
      <c r="Z49" s="38">
        <f t="shared" si="35"/>
        <v>9805427.872981753</v>
      </c>
      <c r="AA49" s="38">
        <f t="shared" si="35"/>
        <v>9832700.60025448</v>
      </c>
      <c r="AB49" s="38">
        <f t="shared" si="35"/>
        <v>9859973.327527208</v>
      </c>
      <c r="AC49" s="38">
        <f t="shared" si="35"/>
        <v>9887246.054799935</v>
      </c>
      <c r="AD49" s="38">
        <f t="shared" si="35"/>
        <v>9914518.782072663</v>
      </c>
      <c r="AE49" s="38">
        <f t="shared" si="35"/>
        <v>9941791.50934539</v>
      </c>
      <c r="AF49" s="38">
        <f t="shared" si="35"/>
        <v>9969064.236618116</v>
      </c>
      <c r="AG49" s="38">
        <f t="shared" si="35"/>
        <v>9996336.963890845</v>
      </c>
      <c r="AH49" s="38">
        <f t="shared" si="35"/>
        <v>10331369.49116357</v>
      </c>
      <c r="AI49" s="38">
        <f t="shared" si="35"/>
        <v>10358642.218436299</v>
      </c>
      <c r="AJ49" s="38">
        <f t="shared" si="35"/>
        <v>10385914.945709027</v>
      </c>
      <c r="AK49" s="38">
        <f t="shared" si="35"/>
        <v>10413187.672981754</v>
      </c>
      <c r="AL49" s="38">
        <f t="shared" si="35"/>
        <v>10440460.40025448</v>
      </c>
      <c r="AM49" s="38">
        <f t="shared" si="35"/>
        <v>10467733.127527209</v>
      </c>
      <c r="AN49" s="38">
        <f t="shared" si="35"/>
        <v>10495005.854799937</v>
      </c>
      <c r="AO49" s="38">
        <f t="shared" si="35"/>
        <v>10522278.582072664</v>
      </c>
      <c r="AP49" s="38">
        <f t="shared" si="35"/>
        <v>10549551.30934539</v>
      </c>
      <c r="AQ49" s="38">
        <f t="shared" si="35"/>
        <v>10576824.03661812</v>
      </c>
      <c r="AR49" s="38">
        <f t="shared" si="35"/>
        <v>10604096.763890848</v>
      </c>
      <c r="AS49" s="38">
        <f t="shared" si="35"/>
        <v>10631369.491163574</v>
      </c>
      <c r="AU49" s="65">
        <f>SUM(AU12:AU45)</f>
        <v>28033807.471082803</v>
      </c>
    </row>
    <row r="50" spans="2:34" s="2" customFormat="1" ht="15" customHeight="1" thickTop="1">
      <c r="B50" s="7"/>
      <c r="C50" s="64" t="s">
        <v>60</v>
      </c>
      <c r="D50" s="76"/>
      <c r="X50" s="63">
        <f>SUM(G39:X39)-X46</f>
        <v>3841647.1999999997</v>
      </c>
      <c r="AH50" s="63">
        <f>SUM(G39:AH39)-AH46</f>
        <v>8037480.399999999</v>
      </c>
    </row>
    <row r="51" spans="1:47" ht="6" customHeight="1" hidden="1">
      <c r="A51" s="2"/>
      <c r="B51" s="7"/>
      <c r="C51" s="7"/>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6"/>
      <c r="AU51" s="6"/>
    </row>
    <row r="52" spans="1:45" s="2" customFormat="1" ht="12.75">
      <c r="A52" s="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2:8" s="2" customFormat="1" ht="11.25">
      <c r="B53" s="78" t="s">
        <v>49</v>
      </c>
      <c r="C53" s="77"/>
      <c r="D53" s="68"/>
      <c r="E53" s="69"/>
      <c r="F53" s="66">
        <f>G39+G43-G45+G44-G27-G29-G30-G22</f>
        <v>424297.48536240665</v>
      </c>
      <c r="G53" s="9" t="s">
        <v>61</v>
      </c>
      <c r="H53" s="9"/>
    </row>
    <row r="54" spans="1:8" s="2" customFormat="1" ht="11.25">
      <c r="A54" s="25"/>
      <c r="B54" s="78" t="s">
        <v>47</v>
      </c>
      <c r="C54" s="68"/>
      <c r="D54" s="68"/>
      <c r="E54" s="8"/>
      <c r="F54" s="67">
        <f>AU49/30</f>
        <v>934460.2490360935</v>
      </c>
      <c r="G54" s="9"/>
      <c r="H54" s="9"/>
    </row>
    <row r="55" spans="2:8" s="2" customFormat="1" ht="11.25">
      <c r="B55" s="7"/>
      <c r="C55" s="49" t="s">
        <v>51</v>
      </c>
      <c r="E55" s="8"/>
      <c r="F55" s="28"/>
      <c r="G55" s="9"/>
      <c r="H55" s="9"/>
    </row>
    <row r="56" spans="2:13" s="2" customFormat="1" ht="11.25">
      <c r="B56" s="49" t="s">
        <v>41</v>
      </c>
      <c r="E56" s="8"/>
      <c r="F56" s="28"/>
      <c r="G56" s="9"/>
      <c r="H56" s="9"/>
      <c r="K56" s="39"/>
      <c r="M56" s="39"/>
    </row>
    <row r="57" spans="1:10" s="2" customFormat="1" ht="12.75">
      <c r="A57" s="3"/>
      <c r="C57" s="49" t="s">
        <v>36</v>
      </c>
      <c r="D57" s="4"/>
      <c r="E57" s="4"/>
      <c r="F57" s="4"/>
      <c r="G57" s="50">
        <v>70000</v>
      </c>
      <c r="H57" s="50"/>
      <c r="I57" s="51"/>
      <c r="J57" s="29"/>
    </row>
    <row r="58" spans="1:10" s="2" customFormat="1" ht="11.25">
      <c r="A58" s="30"/>
      <c r="C58" s="49" t="s">
        <v>35</v>
      </c>
      <c r="D58" s="4"/>
      <c r="E58" s="4"/>
      <c r="F58" s="4"/>
      <c r="G58" s="50">
        <v>30000</v>
      </c>
      <c r="H58" s="50"/>
      <c r="I58" s="51"/>
      <c r="J58" s="29"/>
    </row>
    <row r="59" spans="3:15" s="2" customFormat="1" ht="11.25">
      <c r="C59" s="4" t="s">
        <v>37</v>
      </c>
      <c r="D59" s="4"/>
      <c r="E59" s="4"/>
      <c r="F59" s="4"/>
      <c r="G59" s="50">
        <v>35000</v>
      </c>
      <c r="H59" s="4"/>
      <c r="J59" s="29"/>
      <c r="O59" s="39"/>
    </row>
    <row r="60" spans="3:8" s="2" customFormat="1" ht="12" customHeight="1">
      <c r="C60" s="4" t="s">
        <v>38</v>
      </c>
      <c r="D60" s="4"/>
      <c r="E60" s="4"/>
      <c r="F60" s="4"/>
      <c r="G60" s="50">
        <v>17500</v>
      </c>
      <c r="H60" s="4"/>
    </row>
    <row r="61" spans="3:8" s="2" customFormat="1" ht="11.25" customHeight="1">
      <c r="C61" s="49" t="s">
        <v>39</v>
      </c>
      <c r="D61" s="4"/>
      <c r="E61" s="4"/>
      <c r="F61" s="4"/>
      <c r="G61" s="50">
        <v>40000</v>
      </c>
      <c r="H61" s="4"/>
    </row>
    <row r="62" spans="2:8" s="2" customFormat="1" ht="11.25" customHeight="1">
      <c r="B62" s="2" t="s">
        <v>40</v>
      </c>
      <c r="C62" s="4"/>
      <c r="D62" s="4"/>
      <c r="E62" s="4"/>
      <c r="F62" s="52">
        <f>SUM(G57:G61)</f>
        <v>192500</v>
      </c>
      <c r="H62" s="4"/>
    </row>
    <row r="63" spans="2:7" ht="12.75">
      <c r="B63" s="2" t="s">
        <v>45</v>
      </c>
      <c r="G63" s="50">
        <v>6825000</v>
      </c>
    </row>
    <row r="64" spans="2:8" s="2" customFormat="1" ht="11.25" customHeight="1">
      <c r="B64" s="2" t="s">
        <v>56</v>
      </c>
      <c r="C64" s="70"/>
      <c r="D64" s="70"/>
      <c r="E64" s="70"/>
      <c r="F64" s="74">
        <f>F53-G13</f>
        <v>135676.11111111112</v>
      </c>
      <c r="H64" s="4"/>
    </row>
    <row r="65" spans="2:8" s="2" customFormat="1" ht="11.25" customHeight="1">
      <c r="B65" s="2" t="s">
        <v>57</v>
      </c>
      <c r="C65" s="72"/>
      <c r="D65" s="70"/>
      <c r="E65" s="70"/>
      <c r="F65" s="20">
        <f>SUM(G12:AS12)/30</f>
        <v>205270.58666666647</v>
      </c>
      <c r="H65" s="4"/>
    </row>
    <row r="66" spans="3:6" s="2" customFormat="1" ht="11.25" customHeight="1">
      <c r="C66" s="71" t="s">
        <v>58</v>
      </c>
      <c r="D66" s="73"/>
      <c r="E66" s="73"/>
      <c r="F66" s="75">
        <f>F65-I45</f>
        <v>513030.3866666665</v>
      </c>
    </row>
    <row r="67" spans="2:5" s="2" customFormat="1" ht="11.25" customHeight="1">
      <c r="B67" s="2" t="s">
        <v>54</v>
      </c>
      <c r="C67" s="4"/>
      <c r="D67" s="4"/>
      <c r="E67" s="4"/>
    </row>
    <row r="68" spans="3:7" s="2" customFormat="1" ht="11.25">
      <c r="C68" s="4"/>
      <c r="D68" s="4"/>
      <c r="E68" s="4"/>
      <c r="F68" s="4"/>
      <c r="G68" s="4"/>
    </row>
    <row r="69" spans="3:8" s="2" customFormat="1" ht="11.25">
      <c r="C69" s="4"/>
      <c r="D69" s="4"/>
      <c r="E69" s="4"/>
      <c r="F69" s="4"/>
      <c r="G69" s="4"/>
      <c r="H69" s="4"/>
    </row>
    <row r="70" spans="3:8" s="2" customFormat="1" ht="11.25">
      <c r="C70" s="4"/>
      <c r="D70" s="4"/>
      <c r="E70" s="4"/>
      <c r="F70" s="4"/>
      <c r="G70" s="4"/>
      <c r="H70" s="4"/>
    </row>
    <row r="71" spans="3:8" s="2" customFormat="1" ht="11.25">
      <c r="C71" s="4"/>
      <c r="D71" s="4"/>
      <c r="E71" s="4"/>
      <c r="F71" s="4"/>
      <c r="G71" s="4"/>
      <c r="H71" s="4"/>
    </row>
    <row r="72" spans="3:8" s="2" customFormat="1" ht="6" customHeight="1">
      <c r="C72" s="4"/>
      <c r="D72" s="4"/>
      <c r="E72" s="4"/>
      <c r="F72" s="4"/>
      <c r="G72" s="4"/>
      <c r="H72" s="4"/>
    </row>
    <row r="73" spans="3:8" s="2" customFormat="1" ht="11.25">
      <c r="C73" s="4"/>
      <c r="D73" s="4"/>
      <c r="E73" s="4"/>
      <c r="F73" s="4"/>
      <c r="G73" s="4"/>
      <c r="H73" s="4"/>
    </row>
    <row r="74" spans="3:8" s="2" customFormat="1" ht="11.25">
      <c r="C74" s="4"/>
      <c r="D74" s="4"/>
      <c r="E74" s="4"/>
      <c r="F74" s="4"/>
      <c r="G74" s="4"/>
      <c r="H74" s="4"/>
    </row>
    <row r="75" spans="3:8" s="2" customFormat="1" ht="11.25">
      <c r="C75" s="4"/>
      <c r="D75" s="4"/>
      <c r="E75" s="4"/>
      <c r="F75" s="4"/>
      <c r="G75" s="4"/>
      <c r="H75" s="4"/>
    </row>
    <row r="76" spans="3:8" s="2" customFormat="1" ht="11.25">
      <c r="C76" s="4"/>
      <c r="D76" s="4"/>
      <c r="E76" s="4"/>
      <c r="F76" s="4"/>
      <c r="G76" s="4"/>
      <c r="H76" s="4"/>
    </row>
    <row r="77" spans="3:8" s="2" customFormat="1" ht="11.25">
      <c r="C77" s="4"/>
      <c r="D77" s="4"/>
      <c r="E77" s="4"/>
      <c r="F77" s="4"/>
      <c r="G77" s="4"/>
      <c r="H77" s="4"/>
    </row>
    <row r="78" spans="3:8" s="2" customFormat="1" ht="11.25">
      <c r="C78" s="4"/>
      <c r="D78" s="4"/>
      <c r="E78" s="4"/>
      <c r="F78" s="4"/>
      <c r="G78" s="4"/>
      <c r="H78" s="4"/>
    </row>
    <row r="79" spans="3:8" s="2" customFormat="1" ht="11.25">
      <c r="C79" s="4"/>
      <c r="D79" s="4"/>
      <c r="E79" s="4"/>
      <c r="F79" s="4"/>
      <c r="G79" s="4"/>
      <c r="H79" s="4"/>
    </row>
    <row r="80" spans="3:8" s="2" customFormat="1" ht="11.25">
      <c r="C80" s="4"/>
      <c r="D80" s="4"/>
      <c r="E80" s="4"/>
      <c r="F80" s="4"/>
      <c r="G80" s="4"/>
      <c r="H80" s="4"/>
    </row>
    <row r="81" spans="3:8" s="2" customFormat="1" ht="11.25">
      <c r="C81" s="4"/>
      <c r="D81" s="4"/>
      <c r="E81" s="4"/>
      <c r="F81" s="4"/>
      <c r="G81" s="4"/>
      <c r="H81" s="4"/>
    </row>
    <row r="82" spans="3:8" s="2" customFormat="1" ht="11.25">
      <c r="C82" s="4"/>
      <c r="D82" s="4"/>
      <c r="E82" s="4"/>
      <c r="F82" s="4"/>
      <c r="G82" s="4"/>
      <c r="H82" s="4"/>
    </row>
    <row r="83" spans="3:8" s="2" customFormat="1" ht="11.25">
      <c r="C83" s="4"/>
      <c r="D83" s="4"/>
      <c r="E83" s="4"/>
      <c r="F83" s="4"/>
      <c r="G83" s="4"/>
      <c r="H83" s="4"/>
    </row>
    <row r="84" spans="3:8" s="2" customFormat="1" ht="11.25">
      <c r="C84" s="4"/>
      <c r="D84" s="4"/>
      <c r="E84" s="4"/>
      <c r="F84" s="4"/>
      <c r="G84" s="4"/>
      <c r="H84" s="4"/>
    </row>
    <row r="85" spans="3:8" s="2" customFormat="1" ht="11.25">
      <c r="C85" s="4"/>
      <c r="D85" s="4"/>
      <c r="E85" s="4"/>
      <c r="F85" s="4"/>
      <c r="G85" s="4"/>
      <c r="H85" s="4"/>
    </row>
    <row r="86" spans="3:8" s="2" customFormat="1" ht="11.25">
      <c r="C86" s="4"/>
      <c r="D86" s="4"/>
      <c r="E86" s="4"/>
      <c r="F86" s="4"/>
      <c r="G86" s="4"/>
      <c r="H86" s="4"/>
    </row>
    <row r="87" spans="3:8" s="2" customFormat="1" ht="11.25">
      <c r="C87" s="4"/>
      <c r="D87" s="4"/>
      <c r="E87" s="4"/>
      <c r="F87" s="4"/>
      <c r="G87" s="4"/>
      <c r="H87" s="4"/>
    </row>
    <row r="88" spans="3:8" s="2" customFormat="1" ht="11.25">
      <c r="C88" s="4"/>
      <c r="D88" s="4"/>
      <c r="E88" s="4"/>
      <c r="F88" s="4"/>
      <c r="G88" s="4"/>
      <c r="H88" s="4"/>
    </row>
    <row r="89" spans="3:8" s="2" customFormat="1" ht="11.25">
      <c r="C89" s="4"/>
      <c r="D89" s="4"/>
      <c r="E89" s="4"/>
      <c r="F89" s="4"/>
      <c r="G89" s="4"/>
      <c r="H89" s="4"/>
    </row>
    <row r="90" spans="3:8" s="2" customFormat="1" ht="11.25">
      <c r="C90" s="4"/>
      <c r="D90" s="4"/>
      <c r="E90" s="4"/>
      <c r="F90" s="4"/>
      <c r="G90" s="4"/>
      <c r="H90" s="4"/>
    </row>
    <row r="91" spans="3:8" s="2" customFormat="1" ht="11.25">
      <c r="C91" s="4"/>
      <c r="D91" s="4"/>
      <c r="E91" s="4"/>
      <c r="F91" s="4"/>
      <c r="G91" s="4"/>
      <c r="H91" s="4"/>
    </row>
    <row r="92" spans="3:8" s="2" customFormat="1" ht="11.25">
      <c r="C92" s="4"/>
      <c r="D92" s="4"/>
      <c r="E92" s="4"/>
      <c r="F92" s="4"/>
      <c r="G92" s="4"/>
      <c r="H92" s="4"/>
    </row>
    <row r="93" spans="3:8" s="2" customFormat="1" ht="11.25">
      <c r="C93" s="4"/>
      <c r="D93" s="4"/>
      <c r="E93" s="4"/>
      <c r="F93" s="4"/>
      <c r="G93" s="4"/>
      <c r="H93" s="4"/>
    </row>
    <row r="94" spans="3:8" s="2" customFormat="1" ht="11.25">
      <c r="C94" s="4"/>
      <c r="D94" s="4"/>
      <c r="E94" s="4"/>
      <c r="F94" s="4"/>
      <c r="G94" s="4"/>
      <c r="H94" s="4"/>
    </row>
    <row r="95" spans="3:8" s="2" customFormat="1" ht="11.25">
      <c r="C95" s="4"/>
      <c r="D95" s="4"/>
      <c r="E95" s="4"/>
      <c r="F95" s="4"/>
      <c r="G95" s="4"/>
      <c r="H95" s="4"/>
    </row>
    <row r="96" spans="3:8" s="2" customFormat="1" ht="11.25">
      <c r="C96" s="4"/>
      <c r="D96" s="4"/>
      <c r="E96" s="4"/>
      <c r="F96" s="4"/>
      <c r="G96" s="4"/>
      <c r="H96" s="4"/>
    </row>
    <row r="97" spans="3:8" s="2" customFormat="1" ht="11.25">
      <c r="C97" s="4"/>
      <c r="D97" s="4"/>
      <c r="E97" s="4"/>
      <c r="F97" s="4"/>
      <c r="G97" s="4"/>
      <c r="H97" s="4"/>
    </row>
    <row r="98" spans="3:8" s="2" customFormat="1" ht="11.25">
      <c r="C98" s="4"/>
      <c r="D98" s="4"/>
      <c r="E98" s="4"/>
      <c r="F98" s="4"/>
      <c r="G98" s="4"/>
      <c r="H98" s="4"/>
    </row>
    <row r="99" spans="3:8" s="2" customFormat="1" ht="11.25">
      <c r="C99" s="4"/>
      <c r="D99" s="4"/>
      <c r="E99" s="4"/>
      <c r="F99" s="4"/>
      <c r="G99" s="4"/>
      <c r="H99" s="4"/>
    </row>
    <row r="100" spans="3:8" s="2" customFormat="1" ht="11.25">
      <c r="C100" s="4"/>
      <c r="D100" s="4"/>
      <c r="E100" s="4"/>
      <c r="F100" s="4"/>
      <c r="G100" s="4"/>
      <c r="H100" s="4"/>
    </row>
    <row r="101" spans="3:8" s="2" customFormat="1" ht="11.25">
      <c r="C101" s="4"/>
      <c r="D101" s="4"/>
      <c r="E101" s="4"/>
      <c r="F101" s="4"/>
      <c r="G101" s="4"/>
      <c r="H101" s="4"/>
    </row>
    <row r="102" spans="3:8" s="2" customFormat="1" ht="11.25">
      <c r="C102" s="4"/>
      <c r="D102" s="4"/>
      <c r="E102" s="4"/>
      <c r="F102" s="4"/>
      <c r="G102" s="4"/>
      <c r="H102" s="4"/>
    </row>
    <row r="103" spans="3:8" s="2" customFormat="1" ht="11.25">
      <c r="C103" s="4"/>
      <c r="D103" s="4"/>
      <c r="E103" s="4"/>
      <c r="F103" s="4"/>
      <c r="G103" s="4"/>
      <c r="H103" s="4"/>
    </row>
    <row r="104" spans="3:8" s="2" customFormat="1" ht="11.25">
      <c r="C104" s="4"/>
      <c r="D104" s="4"/>
      <c r="E104" s="4"/>
      <c r="F104" s="4"/>
      <c r="G104" s="4"/>
      <c r="H104" s="4"/>
    </row>
    <row r="105" spans="3:8" s="2" customFormat="1" ht="11.25">
      <c r="C105" s="4"/>
      <c r="D105" s="4"/>
      <c r="E105" s="4"/>
      <c r="F105" s="4"/>
      <c r="G105" s="4"/>
      <c r="H105" s="4"/>
    </row>
    <row r="106" spans="3:8" s="2" customFormat="1" ht="11.25">
      <c r="C106" s="4"/>
      <c r="D106" s="4"/>
      <c r="E106" s="4"/>
      <c r="F106" s="4"/>
      <c r="G106" s="4"/>
      <c r="H106" s="4"/>
    </row>
    <row r="107" spans="1:45" ht="12.75">
      <c r="A107" s="2"/>
      <c r="B107" s="2"/>
      <c r="C107" s="4"/>
      <c r="D107" s="4"/>
      <c r="E107" s="4"/>
      <c r="F107" s="4"/>
      <c r="G107" s="4"/>
      <c r="H107" s="4"/>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sheetData>
  <mergeCells count="4">
    <mergeCell ref="G2:J2"/>
    <mergeCell ref="B3:I3"/>
    <mergeCell ref="B4:I4"/>
    <mergeCell ref="B5:I5"/>
  </mergeCells>
  <printOptions/>
  <pageMargins left="0.5" right="0.5" top="0.5" bottom="0.5" header="0.5" footer="0.5"/>
  <pageSetup fitToWidth="4"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Yorktown Plaza 30 year financial analysis</dc:title>
  <dc:subject/>
  <dc:creator>Hai Ho Nguyen</dc:creator>
  <cp:keywords/>
  <dc:description/>
  <cp:lastModifiedBy>HaiNguyen</cp:lastModifiedBy>
  <cp:lastPrinted>2006-03-06T18:23:12Z</cp:lastPrinted>
  <dcterms:created xsi:type="dcterms:W3CDTF">2000-06-20T01:36:10Z</dcterms:created>
  <dcterms:modified xsi:type="dcterms:W3CDTF">2006-03-24T07:54:35Z</dcterms:modified>
  <cp:category/>
  <cp:version/>
  <cp:contentType/>
  <cp:contentStatus/>
</cp:coreProperties>
</file>